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defaultThemeVersion="124226"/>
  <xr:revisionPtr revIDLastSave="0" documentId="13_ncr:1_{6B512B94-93E7-46A3-920D-F382DF017298}" xr6:coauthVersionLast="45" xr6:coauthVersionMax="45" xr10:uidLastSave="{00000000-0000-0000-0000-000000000000}"/>
  <bookViews>
    <workbookView xWindow="-22740" yWindow="1710" windowWidth="20910" windowHeight="11835" firstSheet="2" activeTab="2" xr2:uid="{00000000-000D-0000-FFFF-FFFF00000000}"/>
  </bookViews>
  <sheets>
    <sheet name="Acerno_Cache_XXXXX" sheetId="14" state="veryHidden" r:id="rId1"/>
    <sheet name="Forecast Usage by Sched" sheetId="13" state="hidden" r:id="rId2"/>
    <sheet name="Nat Gas 2021 Rate Calc" sheetId="7" r:id="rId3"/>
    <sheet name="Prior Year Amortization" sheetId="15" r:id="rId4"/>
    <sheet name="3% Test" sheetId="6" r:id="rId5"/>
    <sheet name="Conversion Factor" sheetId="2" r:id="rId6"/>
    <sheet name="Bill Impact" sheetId="16" r:id="rId7"/>
  </sheets>
  <definedNames>
    <definedName name="_xlnm.Print_Area" localSheetId="4">'3% Test'!$A$1:$F$35</definedName>
    <definedName name="_xlnm.Print_Area" localSheetId="5">'Conversion Factor'!$A$1:$F$117</definedName>
    <definedName name="_xlnm.Print_Area" localSheetId="2">'Nat Gas 2021 Rate Calc'!$A$1:$L$82</definedName>
    <definedName name="_xlnm.Print_Titles" localSheetId="4">'3% Test'!$1:$6</definedName>
    <definedName name="Z_5C6B1FA1_B621_4699_B8F7_5011E8FF1BCD_.wvu.PrintArea" localSheetId="4" hidden="1">'3% Test'!$B$1:$F$33</definedName>
    <definedName name="Z_5C6B1FA1_B621_4699_B8F7_5011E8FF1BCD_.wvu.PrintArea" localSheetId="5" hidden="1">'Conversion Factor'!$A$1:$F$115</definedName>
    <definedName name="Z_5C6B1FA1_B621_4699_B8F7_5011E8FF1BCD_.wvu.PrintArea" localSheetId="2" hidden="1">'Nat Gas 2021 Rate Calc'!$B$1:$K$63</definedName>
    <definedName name="Z_5C6B1FA1_B621_4699_B8F7_5011E8FF1BCD_.wvu.PrintTitles" localSheetId="4" hidden="1">'3% Test'!$1:$6</definedName>
    <definedName name="Z_5C6B1FA1_B621_4699_B8F7_5011E8FF1BCD_.wvu.Rows" localSheetId="5" hidden="1">'Conversion Factor'!$1:$88</definedName>
    <definedName name="Z_6A207E9B_31ED_4215_AD4F_ABB2957B65E4_.wvu.PrintArea" localSheetId="4" hidden="1">'3% Test'!$H$7:$R$15</definedName>
    <definedName name="Z_6A207E9B_31ED_4215_AD4F_ABB2957B65E4_.wvu.PrintArea" localSheetId="5" hidden="1">'Conversion Factor'!$A$1:$F$115</definedName>
    <definedName name="Z_6A207E9B_31ED_4215_AD4F_ABB2957B65E4_.wvu.PrintArea" localSheetId="2" hidden="1">'Nat Gas 2021 Rate Calc'!$B$1:$K$63</definedName>
    <definedName name="Z_6A207E9B_31ED_4215_AD4F_ABB2957B65E4_.wvu.PrintTitles" localSheetId="4" hidden="1">'3% Test'!$1:$6</definedName>
    <definedName name="Z_6A207E9B_31ED_4215_AD4F_ABB2957B65E4_.wvu.Rows" localSheetId="5" hidden="1">'Conversion Factor'!$1:$88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7" l="1"/>
  <c r="J23" i="16" l="1"/>
  <c r="F115" i="2" l="1"/>
  <c r="B24" i="15" l="1"/>
  <c r="C28" i="15" l="1"/>
  <c r="C26" i="15"/>
  <c r="F26" i="15" s="1"/>
  <c r="F7" i="15"/>
  <c r="C9" i="15"/>
  <c r="C7" i="15"/>
  <c r="B5" i="15"/>
  <c r="H70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5" i="7"/>
  <c r="G68" i="7"/>
  <c r="G69" i="7"/>
  <c r="G70" i="7"/>
  <c r="G71" i="7"/>
  <c r="G72" i="7"/>
  <c r="G73" i="7"/>
  <c r="G74" i="7"/>
  <c r="G46" i="7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I46" i="7" l="1"/>
  <c r="C46" i="7"/>
  <c r="H68" i="7"/>
  <c r="J47" i="7" l="1"/>
  <c r="I47" i="7" s="1"/>
  <c r="D47" i="7"/>
  <c r="C47" i="7" s="1"/>
  <c r="B48" i="7"/>
  <c r="B49" i="7" s="1"/>
  <c r="B50" i="7" s="1"/>
  <c r="B47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31" i="15" l="1"/>
  <c r="B32" i="15"/>
  <c r="B33" i="15"/>
  <c r="B34" i="15"/>
  <c r="B35" i="15"/>
  <c r="B36" i="15"/>
  <c r="B37" i="15"/>
  <c r="B38" i="15"/>
  <c r="B39" i="15"/>
  <c r="B29" i="15"/>
  <c r="B30" i="15"/>
  <c r="B28" i="15"/>
  <c r="L17" i="16" l="1"/>
  <c r="K23" i="13" l="1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K7" i="13"/>
  <c r="J7" i="13"/>
  <c r="K6" i="13"/>
  <c r="J6" i="13"/>
  <c r="K5" i="13"/>
  <c r="J5" i="13"/>
  <c r="D9" i="15" l="1"/>
  <c r="F9" i="15" s="1"/>
  <c r="C10" i="15" s="1"/>
  <c r="H51" i="7" l="1"/>
  <c r="D7" i="6" l="1"/>
  <c r="D11" i="16"/>
  <c r="D14" i="16"/>
  <c r="D13" i="16"/>
  <c r="M15" i="16" l="1"/>
  <c r="D19" i="16"/>
  <c r="D17" i="16"/>
  <c r="L19" i="16"/>
  <c r="E7" i="6" s="1"/>
  <c r="J22" i="16"/>
  <c r="F14" i="16"/>
  <c r="F13" i="16"/>
  <c r="F11" i="16"/>
  <c r="F19" i="16" l="1"/>
  <c r="F17" i="16"/>
  <c r="J24" i="16"/>
  <c r="H17" i="15" l="1"/>
  <c r="E17" i="15" s="1"/>
  <c r="H36" i="15"/>
  <c r="E36" i="15" s="1"/>
  <c r="H18" i="15"/>
  <c r="E18" i="15" s="1"/>
  <c r="H37" i="15"/>
  <c r="E37" i="15" s="1"/>
  <c r="H19" i="15"/>
  <c r="E19" i="15" s="1"/>
  <c r="H38" i="15"/>
  <c r="E38" i="15" s="1"/>
  <c r="H20" i="15"/>
  <c r="E20" i="15" s="1"/>
  <c r="H39" i="15"/>
  <c r="E39" i="15" s="1"/>
  <c r="G29" i="15" l="1"/>
  <c r="G31" i="15" s="1"/>
  <c r="G32" i="15" s="1"/>
  <c r="G33" i="15" s="1"/>
  <c r="G34" i="15" s="1"/>
  <c r="G35" i="15" s="1"/>
  <c r="G36" i="15" s="1"/>
  <c r="G37" i="15" s="1"/>
  <c r="G38" i="15" s="1"/>
  <c r="G39" i="15" s="1"/>
  <c r="D28" i="15"/>
  <c r="F28" i="15" s="1"/>
  <c r="C29" i="15" s="1"/>
  <c r="G10" i="15"/>
  <c r="G12" i="15" s="1"/>
  <c r="G13" i="15" s="1"/>
  <c r="G14" i="15" s="1"/>
  <c r="G15" i="15" s="1"/>
  <c r="G16" i="15" s="1"/>
  <c r="G17" i="15" s="1"/>
  <c r="G18" i="15" s="1"/>
  <c r="G19" i="15" s="1"/>
  <c r="G20" i="15" s="1"/>
  <c r="D10" i="15" l="1"/>
  <c r="F10" i="15" s="1"/>
  <c r="C11" i="15" s="1"/>
  <c r="D29" i="15"/>
  <c r="F29" i="15" s="1"/>
  <c r="C30" i="15" s="1"/>
  <c r="D11" i="15" l="1"/>
  <c r="F11" i="15" s="1"/>
  <c r="C12" i="15" s="1"/>
  <c r="D30" i="15"/>
  <c r="F30" i="15" s="1"/>
  <c r="C31" i="15" s="1"/>
  <c r="D12" i="15" l="1"/>
  <c r="F12" i="15" s="1"/>
  <c r="C13" i="15" s="1"/>
  <c r="D31" i="15"/>
  <c r="F31" i="15" s="1"/>
  <c r="C32" i="15" s="1"/>
  <c r="D13" i="15" l="1"/>
  <c r="F13" i="15" s="1"/>
  <c r="C14" i="15" s="1"/>
  <c r="D32" i="15"/>
  <c r="F32" i="15" s="1"/>
  <c r="C33" i="15" s="1"/>
  <c r="D14" i="15" l="1"/>
  <c r="F14" i="15" s="1"/>
  <c r="C15" i="15" s="1"/>
  <c r="D33" i="15"/>
  <c r="F33" i="15" s="1"/>
  <c r="C34" i="15" s="1"/>
  <c r="D15" i="15" l="1"/>
  <c r="F15" i="15" s="1"/>
  <c r="C16" i="15" s="1"/>
  <c r="D34" i="15"/>
  <c r="F34" i="15" s="1"/>
  <c r="C35" i="15" s="1"/>
  <c r="D16" i="15" l="1"/>
  <c r="F16" i="15" s="1"/>
  <c r="C17" i="15" s="1"/>
  <c r="D35" i="15"/>
  <c r="F35" i="15" s="1"/>
  <c r="C36" i="15" s="1"/>
  <c r="D17" i="15" l="1"/>
  <c r="F17" i="15" s="1"/>
  <c r="C18" i="15" s="1"/>
  <c r="D36" i="15"/>
  <c r="F36" i="15" s="1"/>
  <c r="C37" i="15" s="1"/>
  <c r="D18" i="15" l="1"/>
  <c r="F18" i="15" s="1"/>
  <c r="C19" i="15" s="1"/>
  <c r="D37" i="15"/>
  <c r="F37" i="15" s="1"/>
  <c r="C38" i="15" s="1"/>
  <c r="D38" i="15" l="1"/>
  <c r="F38" i="15" s="1"/>
  <c r="C39" i="15" s="1"/>
  <c r="D19" i="15"/>
  <c r="F19" i="15" s="1"/>
  <c r="C20" i="15" s="1"/>
  <c r="D20" i="15" l="1"/>
  <c r="F20" i="15" s="1"/>
  <c r="C69" i="7" s="1"/>
  <c r="C51" i="7" s="1"/>
  <c r="D39" i="15"/>
  <c r="F39" i="15" s="1"/>
  <c r="I69" i="7" s="1"/>
  <c r="I51" i="7" s="1"/>
  <c r="H47" i="7" l="1"/>
  <c r="H48" i="7"/>
  <c r="H49" i="7"/>
  <c r="H50" i="7"/>
  <c r="H52" i="7"/>
  <c r="H53" i="7"/>
  <c r="H54" i="7"/>
  <c r="H55" i="7"/>
  <c r="H56" i="7"/>
  <c r="H57" i="7"/>
  <c r="H58" i="7"/>
  <c r="H59" i="7"/>
  <c r="H60" i="7"/>
  <c r="H61" i="7"/>
  <c r="H62" i="7"/>
  <c r="H63" i="7"/>
  <c r="H46" i="7"/>
  <c r="F102" i="2" l="1"/>
  <c r="F100" i="2"/>
  <c r="F97" i="2"/>
  <c r="F106" i="2" l="1"/>
  <c r="F108" i="2"/>
  <c r="F112" i="2" s="1"/>
  <c r="D27" i="7" l="1"/>
  <c r="I68" i="7"/>
  <c r="K20" i="7" l="1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C68" i="7" l="1"/>
  <c r="H42" i="7"/>
  <c r="B42" i="7"/>
  <c r="E22" i="7"/>
  <c r="D9" i="6" s="1"/>
  <c r="F7" i="6"/>
  <c r="K22" i="7" l="1"/>
  <c r="E9" i="6" s="1"/>
  <c r="E106" i="2" l="1"/>
  <c r="E108" i="2" s="1"/>
  <c r="E112" i="2" l="1"/>
  <c r="J27" i="7"/>
  <c r="D48" i="7" l="1"/>
  <c r="J48" i="7"/>
  <c r="C48" i="7" l="1"/>
  <c r="D49" i="7" s="1"/>
  <c r="I48" i="7"/>
  <c r="J49" i="7" s="1"/>
  <c r="C49" i="7" l="1"/>
  <c r="D50" i="7" s="1"/>
  <c r="I49" i="7"/>
  <c r="J50" i="7" s="1"/>
  <c r="I50" i="7" l="1"/>
  <c r="I8" i="7" s="1"/>
  <c r="C50" i="7"/>
  <c r="C8" i="7" s="1"/>
  <c r="C7" i="7" l="1"/>
  <c r="I7" i="7"/>
  <c r="D25" i="7" l="1"/>
  <c r="B35" i="7" s="1"/>
  <c r="J25" i="7"/>
  <c r="H35" i="7" s="1"/>
  <c r="D9" i="7" l="1"/>
  <c r="C9" i="7" s="1"/>
  <c r="D10" i="7" s="1"/>
  <c r="C10" i="7" s="1"/>
  <c r="D11" i="7" s="1"/>
  <c r="C11" i="7" s="1"/>
  <c r="D12" i="7" s="1"/>
  <c r="C12" i="7" s="1"/>
  <c r="D13" i="7" s="1"/>
  <c r="C13" i="7" s="1"/>
  <c r="D14" i="7" s="1"/>
  <c r="C14" i="7" s="1"/>
  <c r="D15" i="7" s="1"/>
  <c r="C15" i="7" s="1"/>
  <c r="D16" i="7" s="1"/>
  <c r="C16" i="7" s="1"/>
  <c r="D17" i="7" s="1"/>
  <c r="C17" i="7" s="1"/>
  <c r="D18" i="7" s="1"/>
  <c r="C18" i="7" s="1"/>
  <c r="D19" i="7" s="1"/>
  <c r="C19" i="7" s="1"/>
  <c r="D20" i="7" s="1"/>
  <c r="C20" i="7" s="1"/>
  <c r="J9" i="7"/>
  <c r="I9" i="7" s="1"/>
  <c r="J10" i="7" s="1"/>
  <c r="I10" i="7" s="1"/>
  <c r="J11" i="7" s="1"/>
  <c r="I11" i="7" s="1"/>
  <c r="J12" i="7" s="1"/>
  <c r="I12" i="7" s="1"/>
  <c r="J13" i="7" s="1"/>
  <c r="I13" i="7" s="1"/>
  <c r="J14" i="7" s="1"/>
  <c r="I14" i="7" s="1"/>
  <c r="J15" i="7" s="1"/>
  <c r="I15" i="7" s="1"/>
  <c r="J16" i="7" s="1"/>
  <c r="I16" i="7" s="1"/>
  <c r="J17" i="7" s="1"/>
  <c r="I17" i="7" s="1"/>
  <c r="J18" i="7" s="1"/>
  <c r="I18" i="7" s="1"/>
  <c r="J19" i="7" s="1"/>
  <c r="I19" i="7" s="1"/>
  <c r="J20" i="7" s="1"/>
  <c r="I20" i="7" s="1"/>
  <c r="D22" i="7" l="1"/>
  <c r="D24" i="7" s="1"/>
  <c r="J22" i="7"/>
  <c r="D26" i="7" l="1"/>
  <c r="D28" i="7" s="1"/>
  <c r="D11" i="6" s="1"/>
  <c r="D15" i="6" s="1"/>
  <c r="D17" i="6" s="1"/>
  <c r="J24" i="7"/>
  <c r="J26" i="7" s="1"/>
  <c r="J28" i="7" s="1"/>
  <c r="E11" i="6" s="1"/>
  <c r="E15" i="6" l="1"/>
  <c r="E17" i="6" s="1"/>
  <c r="E19" i="6" s="1"/>
  <c r="E21" i="6" s="1"/>
  <c r="D19" i="6"/>
  <c r="D21" i="6" s="1"/>
  <c r="D23" i="6" s="1"/>
  <c r="D29" i="7" l="1"/>
  <c r="D30" i="7" s="1"/>
  <c r="E30" i="7" s="1"/>
  <c r="D25" i="6"/>
  <c r="D27" i="6" s="1"/>
  <c r="D29" i="6" s="1"/>
  <c r="F21" i="6"/>
  <c r="E23" i="6"/>
  <c r="J29" i="7" s="1"/>
  <c r="F17" i="6"/>
  <c r="I11" i="16" l="1"/>
  <c r="J11" i="16" s="1"/>
  <c r="C73" i="7"/>
  <c r="B73" i="7" s="1"/>
  <c r="D31" i="7"/>
  <c r="E56" i="7" s="1"/>
  <c r="J30" i="7"/>
  <c r="E25" i="6"/>
  <c r="I13" i="16" l="1"/>
  <c r="H13" i="16" s="1"/>
  <c r="G13" i="16" s="1"/>
  <c r="M13" i="16" s="1"/>
  <c r="K30" i="7"/>
  <c r="H11" i="16"/>
  <c r="G11" i="16" s="1"/>
  <c r="M11" i="16" s="1"/>
  <c r="I25" i="16"/>
  <c r="J25" i="16" s="1"/>
  <c r="J26" i="16" s="1"/>
  <c r="E61" i="7"/>
  <c r="E63" i="7"/>
  <c r="E54" i="7"/>
  <c r="E60" i="7"/>
  <c r="E58" i="7"/>
  <c r="E57" i="7"/>
  <c r="E59" i="7"/>
  <c r="E55" i="7"/>
  <c r="E52" i="7"/>
  <c r="E53" i="7"/>
  <c r="E62" i="7"/>
  <c r="I73" i="7"/>
  <c r="H73" i="7" s="1"/>
  <c r="J31" i="7"/>
  <c r="K54" i="7" s="1"/>
  <c r="I14" i="16"/>
  <c r="J14" i="16" s="1"/>
  <c r="J13" i="16"/>
  <c r="E27" i="6"/>
  <c r="E29" i="6" s="1"/>
  <c r="D52" i="7" l="1"/>
  <c r="C52" i="7" s="1"/>
  <c r="E65" i="7"/>
  <c r="K59" i="7"/>
  <c r="K62" i="7"/>
  <c r="H14" i="16"/>
  <c r="G14" i="16" s="1"/>
  <c r="K63" i="7"/>
  <c r="K55" i="7"/>
  <c r="K57" i="7"/>
  <c r="K58" i="7"/>
  <c r="K60" i="7"/>
  <c r="K56" i="7"/>
  <c r="K52" i="7"/>
  <c r="J52" i="7" s="1"/>
  <c r="I52" i="7" s="1"/>
  <c r="K53" i="7"/>
  <c r="K61" i="7"/>
  <c r="F27" i="6"/>
  <c r="J53" i="7" l="1"/>
  <c r="I53" i="7" s="1"/>
  <c r="J54" i="7" s="1"/>
  <c r="D53" i="7"/>
  <c r="C53" i="7" s="1"/>
  <c r="J27" i="16"/>
  <c r="G17" i="16"/>
  <c r="M17" i="16" s="1"/>
  <c r="H19" i="16"/>
  <c r="H17" i="16"/>
  <c r="K65" i="7"/>
  <c r="G19" i="16"/>
  <c r="M19" i="16" s="1"/>
  <c r="D54" i="7" l="1"/>
  <c r="C54" i="7" s="1"/>
  <c r="D55" i="7" s="1"/>
  <c r="C55" i="7" s="1"/>
  <c r="I54" i="7"/>
  <c r="J55" i="7" s="1"/>
  <c r="D56" i="7" l="1"/>
  <c r="C56" i="7" s="1"/>
  <c r="I55" i="7"/>
  <c r="J56" i="7" s="1"/>
  <c r="E77" i="2"/>
  <c r="E79" i="2" s="1"/>
  <c r="E87" i="2" s="1"/>
  <c r="D57" i="7" l="1"/>
  <c r="C57" i="7" s="1"/>
  <c r="D58" i="7" s="1"/>
  <c r="I56" i="7"/>
  <c r="J57" i="7" s="1"/>
  <c r="E81" i="2"/>
  <c r="E83" i="2" s="1"/>
  <c r="C58" i="7" l="1"/>
  <c r="D59" i="7" s="1"/>
  <c r="I57" i="7"/>
  <c r="J58" i="7" s="1"/>
  <c r="E49" i="2"/>
  <c r="E51" i="2" s="1"/>
  <c r="E59" i="2" s="1"/>
  <c r="C59" i="7" l="1"/>
  <c r="D60" i="7" s="1"/>
  <c r="I58" i="7"/>
  <c r="E53" i="2"/>
  <c r="E55" i="2" s="1"/>
  <c r="C60" i="7" l="1"/>
  <c r="D61" i="7" s="1"/>
  <c r="J59" i="7"/>
  <c r="I59" i="7" s="1"/>
  <c r="E18" i="2"/>
  <c r="E20" i="2" s="1"/>
  <c r="E28" i="2" s="1"/>
  <c r="C61" i="7" l="1"/>
  <c r="D62" i="7" s="1"/>
  <c r="J60" i="7"/>
  <c r="I60" i="7" s="1"/>
  <c r="E22" i="2"/>
  <c r="E24" i="2" s="1"/>
  <c r="C62" i="7" l="1"/>
  <c r="D63" i="7" s="1"/>
  <c r="D65" i="7" s="1"/>
  <c r="C70" i="7" s="1"/>
  <c r="J61" i="7"/>
  <c r="I61" i="7" s="1"/>
  <c r="D32" i="7"/>
  <c r="J62" i="7" l="1"/>
  <c r="I62" i="7" s="1"/>
  <c r="C63" i="7"/>
  <c r="C71" i="7" s="1"/>
  <c r="J32" i="7" l="1"/>
  <c r="J63" i="7"/>
  <c r="J65" i="7" s="1"/>
  <c r="I70" i="7" s="1"/>
  <c r="C72" i="7"/>
  <c r="C74" i="7" s="1"/>
  <c r="I63" i="7" l="1"/>
  <c r="I71" i="7" s="1"/>
  <c r="I72" i="7" s="1"/>
  <c r="I7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6" authorId="0" shapeId="0" xr:uid="{8E5EC56E-6128-4BDB-A952-3B78FE5502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June true-up entry recorded on GL July 2021</t>
        </r>
      </text>
    </comment>
    <comment ref="I46" authorId="0" shapeId="0" xr:uid="{40CF2836-2714-4B46-AF8D-AFDF2125AE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June true-up entry recorded on GL July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2020 Normalized Revenue amounts
</t>
        </r>
      </text>
    </comment>
  </commentList>
</comments>
</file>

<file path=xl/sharedStrings.xml><?xml version="1.0" encoding="utf-8"?>
<sst xmlns="http://schemas.openxmlformats.org/spreadsheetml/2006/main" count="277" uniqueCount="163">
  <si>
    <t>Avista Utilities</t>
  </si>
  <si>
    <t>Date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</si>
  <si>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</si>
  <si>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</si>
  <si>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</si>
  <si>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</si>
  <si>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</si>
  <si>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</si>
  <si>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</si>
  <si>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</si>
  <si>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</si>
  <si>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</si>
  <si>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</si>
  <si>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</si>
  <si>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</si>
  <si>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</si>
  <si>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</si>
  <si>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</si>
  <si>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</si>
  <si>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</si>
  <si>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</si>
  <si>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</si>
  <si>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</si>
  <si>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</si>
  <si>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</si>
  <si>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</si>
  <si>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</si>
  <si>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</si>
  <si>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</si>
  <si>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</si>
  <si>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</si>
  <si>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</si>
  <si>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</si>
  <si>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</si>
  <si>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</si>
  <si>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</si>
  <si>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 xml:space="preserve">  Uncollectibles  </t>
  </si>
  <si>
    <t xml:space="preserve">  Commission Fees </t>
  </si>
  <si>
    <t>Gross Up Factor</t>
  </si>
  <si>
    <t>Incremental Surcharge %</t>
  </si>
  <si>
    <t>3% Test Rate Adjustment</t>
  </si>
  <si>
    <t>Adjusted Incremental Surcharge %</t>
  </si>
  <si>
    <t>3% Test Rate Adjustment (4)</t>
  </si>
  <si>
    <t>Notes</t>
  </si>
  <si>
    <t>Amortization</t>
  </si>
  <si>
    <t>Adjusted for Revenue Related Expenses</t>
  </si>
  <si>
    <t>Estimated Carryover Balance due to 3% test (5)</t>
  </si>
  <si>
    <t>Total Loads by Rate Sched:</t>
  </si>
  <si>
    <t>RES</t>
  </si>
  <si>
    <t>Non-RES</t>
  </si>
  <si>
    <t>Idaho Natural Gas</t>
  </si>
  <si>
    <t>ID101</t>
  </si>
  <si>
    <t>ID111</t>
  </si>
  <si>
    <t>ID132</t>
  </si>
  <si>
    <t>ID146</t>
  </si>
  <si>
    <t>ID147</t>
  </si>
  <si>
    <t>ID159</t>
  </si>
  <si>
    <t>Line No.</t>
  </si>
  <si>
    <t xml:space="preserve">Total </t>
  </si>
  <si>
    <t>Carryover Deferred Revenue</t>
  </si>
  <si>
    <t xml:space="preserve">Summary </t>
  </si>
  <si>
    <t>(1)</t>
  </si>
  <si>
    <t>(2)</t>
  </si>
  <si>
    <t>(3)</t>
  </si>
  <si>
    <t>(4)</t>
  </si>
  <si>
    <t>(5)</t>
  </si>
  <si>
    <t>Forecast Usage</t>
  </si>
  <si>
    <t xml:space="preserve">     Total Requested Recovery</t>
  </si>
  <si>
    <t>Add Revenue Related Expense Adj.</t>
  </si>
  <si>
    <t>Idaho - Natural Gas System</t>
  </si>
  <si>
    <t xml:space="preserve">  Idaho State Income Tax  </t>
  </si>
  <si>
    <t>Interest computed on average balance between beginning and end of month at the present IPUC Consumer Deposit rate.  The IPUC Consumer Deposit rate is updated annually.</t>
  </si>
  <si>
    <t>Consumer Deposit Interest Rate</t>
  </si>
  <si>
    <t>Bill Determ Tab</t>
  </si>
  <si>
    <t>Residential</t>
  </si>
  <si>
    <t>Non-Residential</t>
  </si>
  <si>
    <t>Total</t>
  </si>
  <si>
    <t>Calculation of Fixed Cost Adjustment (FCA) Surcharge or Rebate Amortization Rates</t>
  </si>
  <si>
    <t>Preliminary Proposed FCA Rate</t>
  </si>
  <si>
    <t>Final Proposed FCA Rate</t>
  </si>
  <si>
    <t>Adjusted Proposed FCA Recovery Rates</t>
  </si>
  <si>
    <t>Adjusted Incremental FCA Recovery</t>
  </si>
  <si>
    <t>Incremental FCA Recovery</t>
  </si>
  <si>
    <t>Incremental FCA Recovery Rates</t>
  </si>
  <si>
    <t>Proposed FCA Recovery Rates</t>
  </si>
  <si>
    <t>Fixed Cost Adjustment (FCA) 3% Test</t>
  </si>
  <si>
    <t>Idaho Residential Natural Gas</t>
  </si>
  <si>
    <t>Idaho Non-Residential Natural Gas</t>
  </si>
  <si>
    <t>Interest</t>
  </si>
  <si>
    <t>Interest Rate</t>
  </si>
  <si>
    <t>Idaho Jurisdiction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</si>
  <si>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</si>
  <si>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</si>
  <si>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</si>
  <si>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</si>
  <si>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</si>
  <si>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</si>
  <si>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</si>
  <si>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</si>
  <si>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</si>
  <si>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</si>
  <si>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</si>
  <si>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</si>
  <si>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</si>
  <si>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</si>
  <si>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</si>
  <si>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</si>
  <si>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</si>
  <si>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</si>
  <si>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</si>
  <si>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</si>
  <si>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</si>
  <si>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</si>
  <si>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</si>
  <si>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</si>
  <si>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</si>
  <si>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Large General Service</t>
  </si>
  <si>
    <t>Interruptible Service</t>
  </si>
  <si>
    <t>Non-Residential Group Subtotal</t>
  </si>
  <si>
    <t xml:space="preserve">Average Residential Bill </t>
  </si>
  <si>
    <t>Basic Charge</t>
  </si>
  <si>
    <t>Proposed rate change</t>
  </si>
  <si>
    <t>Residential Bill at Proposed rates</t>
  </si>
  <si>
    <t>Proposed Percent Increase</t>
  </si>
  <si>
    <t>111/112</t>
  </si>
  <si>
    <t>131/132</t>
  </si>
  <si>
    <t>Per Therm</t>
  </si>
  <si>
    <t>See page 6 of Exhibit B for 3% test adjustment calculations.</t>
  </si>
  <si>
    <t>See page 2 of Exhibit B for estimated carryover balance calculations.</t>
  </si>
  <si>
    <t>N/A</t>
  </si>
  <si>
    <t>Excluded Schedules</t>
  </si>
  <si>
    <t>146/147/159</t>
  </si>
  <si>
    <t>Natural Gas Service</t>
  </si>
  <si>
    <t>FCA</t>
  </si>
  <si>
    <t>FCA Mechanism Prior Surcharge or Rebate Amortization</t>
  </si>
  <si>
    <t>Present FCA Recovery Rates (2)</t>
  </si>
  <si>
    <t>Effective November 1, 2020 - October 31, 2021</t>
  </si>
  <si>
    <t xml:space="preserve">  Federal Income Tax @ 21%</t>
  </si>
  <si>
    <t>Residential Bill at 1/1/2020 rates</t>
  </si>
  <si>
    <t>Add Prior Year Residual Balance</t>
  </si>
  <si>
    <t>prior year residual</t>
  </si>
  <si>
    <t>Calculate Estimated Monthly Balances through October 2021</t>
  </si>
  <si>
    <t>Calculate Estimated Monthly Balance through October 2021</t>
  </si>
  <si>
    <t>(1)   Total 2020 weather normalized billing determinants priced at the billing rates effective since 11/01/2020.</t>
  </si>
  <si>
    <t>Effective November 1, 2021 - October 31, 2022</t>
  </si>
  <si>
    <t>https://puc.idaho.gov/Fileroom/PublicFiles/GAS/34866.pdf</t>
  </si>
  <si>
    <t xml:space="preserve">(2)  As stated on tariff Sheet 175C, the reversal of a rebate rate is not included in the 3% incremental surcharge test. </t>
  </si>
  <si>
    <t>2020 Idaho Natural Gas Deferrals</t>
  </si>
  <si>
    <t>01.2020 - 06.2021 Deferred Revenue</t>
  </si>
  <si>
    <t>July - October Forecast Usage</t>
  </si>
  <si>
    <t>(3)  Any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</si>
  <si>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</si>
  <si>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Revenue From 2020 Normalized Loads and Customers at Present Billing Rates (Note 1)</t>
  </si>
  <si>
    <t>November 2021 - October 2022 Usage</t>
  </si>
  <si>
    <t>Prior Rebate</t>
  </si>
  <si>
    <t>2021 FCA Schedule 175 Filing</t>
  </si>
  <si>
    <t>TWELVE MONTHS ENDED DECEMBER 31, 2019</t>
  </si>
  <si>
    <t>Increase</t>
  </si>
  <si>
    <t>Add Interest through 10/31/2022</t>
  </si>
  <si>
    <t xml:space="preserve"> @63 therms</t>
  </si>
  <si>
    <t>GSFM Jun Mid-month (6 30 21 pricing)_60 day avg pricing.xlsm</t>
  </si>
  <si>
    <t>AVU-G-21-01 conversion factor, see page 7 of  Exhibit B.</t>
  </si>
  <si>
    <t>From Case No. AVU-G-21-01 Final Stipulation and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</si>
</sst>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&quot;$&quot;#,##0.00"/>
    <numFmt numFmtId="175" formatCode="_(&quot;$&quot;* #,##0.000000_);_(&quot;$&quot;* \(#,##0.00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110795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16" fillId="0" borderId="0"/>
  </cellStyleXfs>
  <cellXfs count="15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9" fillId="0" borderId="0" xfId="0" applyNumberFormat="1" applyFont="1"/>
    <xf numFmtId="166" fontId="4" fillId="0" borderId="2" xfId="0" applyNumberFormat="1" applyFont="1" applyBorder="1"/>
    <xf numFmtId="166" fontId="4" fillId="0" borderId="5" xfId="0" applyNumberFormat="1" applyFont="1" applyBorder="1"/>
    <xf numFmtId="0" fontId="10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0" fillId="0" borderId="0" xfId="2" applyNumberFormat="1" applyFont="1"/>
    <xf numFmtId="164" fontId="0" fillId="0" borderId="0" xfId="0" applyNumberFormat="1"/>
    <xf numFmtId="0" fontId="0" fillId="0" borderId="0" xfId="0" applyFill="1" applyBorder="1"/>
    <xf numFmtId="171" fontId="0" fillId="0" borderId="0" xfId="0" applyNumberFormat="1"/>
    <xf numFmtId="0" fontId="12" fillId="4" borderId="0" xfId="0" applyFont="1" applyFill="1"/>
    <xf numFmtId="0" fontId="0" fillId="0" borderId="0" xfId="0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Fill="1" applyBorder="1"/>
    <xf numFmtId="0" fontId="0" fillId="0" borderId="0" xfId="0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center"/>
    </xf>
    <xf numFmtId="5" fontId="0" fillId="0" borderId="0" xfId="5" applyNumberFormat="1" applyFont="1" applyFill="1"/>
    <xf numFmtId="0" fontId="0" fillId="0" borderId="0" xfId="0" applyFill="1" applyBorder="1" applyAlignment="1">
      <alignment vertical="center"/>
    </xf>
    <xf numFmtId="0" fontId="0" fillId="0" borderId="0" xfId="0" applyAlignment="1">
      <alignment shrinkToFit="1"/>
    </xf>
    <xf numFmtId="44" fontId="0" fillId="0" borderId="0" xfId="5" applyNumberFormat="1" applyFont="1" applyFill="1"/>
    <xf numFmtId="4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10" fontId="0" fillId="0" borderId="0" xfId="2" applyNumberFormat="1" applyFont="1"/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44" fontId="0" fillId="0" borderId="0" xfId="5" applyFont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174" fontId="0" fillId="0" borderId="0" xfId="0" applyNumberFormat="1" applyFill="1"/>
    <xf numFmtId="170" fontId="0" fillId="0" borderId="0" xfId="0" applyNumberFormat="1" applyFill="1"/>
    <xf numFmtId="169" fontId="0" fillId="0" borderId="0" xfId="5" applyNumberFormat="1" applyFont="1" applyFill="1"/>
    <xf numFmtId="37" fontId="0" fillId="0" borderId="0" xfId="0" applyNumberFormat="1" applyFill="1"/>
    <xf numFmtId="172" fontId="0" fillId="0" borderId="0" xfId="0" applyNumberFormat="1" applyFill="1"/>
    <xf numFmtId="172" fontId="12" fillId="0" borderId="0" xfId="5" applyNumberFormat="1" applyFont="1" applyFill="1"/>
    <xf numFmtId="44" fontId="0" fillId="0" borderId="0" xfId="0" applyNumberFormat="1" applyFill="1"/>
    <xf numFmtId="173" fontId="0" fillId="0" borderId="0" xfId="2" applyNumberFormat="1" applyFont="1" applyFill="1"/>
    <xf numFmtId="172" fontId="0" fillId="0" borderId="0" xfId="5" applyNumberFormat="1" applyFont="1" applyFill="1"/>
    <xf numFmtId="37" fontId="0" fillId="0" borderId="0" xfId="0" applyNumberFormat="1" applyFill="1" applyAlignment="1">
      <alignment vertical="center"/>
    </xf>
    <xf numFmtId="37" fontId="0" fillId="0" borderId="0" xfId="0" applyNumberFormat="1" applyFill="1" applyAlignment="1">
      <alignment horizontal="center"/>
    </xf>
    <xf numFmtId="10" fontId="0" fillId="0" borderId="0" xfId="2" applyNumberFormat="1" applyFont="1" applyFill="1"/>
    <xf numFmtId="0" fontId="0" fillId="0" borderId="0" xfId="0" applyFill="1" applyAlignment="1">
      <alignment horizontal="center"/>
    </xf>
    <xf numFmtId="175" fontId="0" fillId="0" borderId="0" xfId="5" applyNumberFormat="1" applyFont="1" applyFill="1"/>
    <xf numFmtId="0" fontId="0" fillId="0" borderId="0" xfId="0" applyFill="1" applyAlignment="1">
      <alignment horizontal="right"/>
    </xf>
    <xf numFmtId="7" fontId="0" fillId="0" borderId="0" xfId="5" applyNumberFormat="1" applyFont="1" applyFill="1"/>
    <xf numFmtId="7" fontId="0" fillId="0" borderId="6" xfId="5" applyNumberFormat="1" applyFont="1" applyFill="1" applyBorder="1"/>
    <xf numFmtId="164" fontId="0" fillId="0" borderId="0" xfId="1" applyNumberFormat="1" applyFont="1" applyFill="1" applyBorder="1"/>
    <xf numFmtId="170" fontId="0" fillId="0" borderId="0" xfId="0" applyNumberFormat="1" applyFill="1" applyBorder="1"/>
    <xf numFmtId="17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0" borderId="7" xfId="0" applyBorder="1"/>
    <xf numFmtId="0" fontId="0" fillId="0" borderId="8" xfId="0" applyBorder="1"/>
    <xf numFmtId="5" fontId="10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8" fontId="0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ill="1" applyAlignment="1">
      <alignment horizontal="center" vertical="top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5" fontId="0" fillId="0" borderId="0" xfId="0" applyNumberFormat="1" applyFill="1"/>
    <xf numFmtId="5" fontId="0" fillId="0" borderId="6" xfId="0" applyNumberFormat="1" applyFill="1" applyBorder="1"/>
    <xf numFmtId="0" fontId="0" fillId="0" borderId="0" xfId="0" applyFill="1" applyAlignment="1">
      <alignment wrapText="1"/>
    </xf>
    <xf numFmtId="17" fontId="0" fillId="0" borderId="0" xfId="0" applyNumberFormat="1" applyFill="1"/>
    <xf numFmtId="7" fontId="0" fillId="0" borderId="0" xfId="0" applyNumberFormat="1" applyFill="1" applyBorder="1"/>
    <xf numFmtId="10" fontId="0" fillId="0" borderId="0" xfId="0" applyNumberFormat="1" applyFill="1"/>
    <xf numFmtId="44" fontId="10" fillId="0" borderId="0" xfId="0" applyNumberFormat="1" applyFont="1" applyFill="1"/>
    <xf numFmtId="168" fontId="0" fillId="0" borderId="0" xfId="0" applyNumberFormat="1"/>
    <xf numFmtId="166" fontId="4" fillId="0" borderId="0" xfId="0" applyNumberFormat="1" applyFont="1" applyFill="1"/>
    <xf numFmtId="166" fontId="4" fillId="0" borderId="0" xfId="4" applyNumberFormat="1" applyFont="1" applyFill="1"/>
    <xf numFmtId="166" fontId="6" fillId="0" borderId="0" xfId="4" applyNumberFormat="1" applyFont="1" applyFill="1"/>
    <xf numFmtId="10" fontId="0" fillId="0" borderId="0" xfId="0" quotePrefix="1" applyNumberForma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 wrapText="1"/>
    </xf>
    <xf numFmtId="0" fontId="11" fillId="0" borderId="0" xfId="6" quotePrefix="1" applyFill="1" applyBorder="1" applyAlignment="1">
      <alignment horizontal="left"/>
    </xf>
    <xf numFmtId="10" fontId="15" fillId="0" borderId="0" xfId="0" applyNumberFormat="1" applyFont="1" applyFill="1"/>
    <xf numFmtId="44" fontId="14" fillId="0" borderId="0" xfId="5" applyNumberFormat="1" applyFon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7" fontId="10" fillId="0" borderId="0" xfId="0" applyNumberFormat="1" applyFont="1" applyFill="1"/>
    <xf numFmtId="172" fontId="10" fillId="0" borderId="0" xfId="5" applyNumberFormat="1" applyFont="1" applyFill="1"/>
    <xf numFmtId="169" fontId="10" fillId="0" borderId="0" xfId="5" applyNumberFormat="1" applyFont="1" applyFill="1"/>
    <xf numFmtId="169" fontId="10" fillId="0" borderId="0" xfId="0" applyNumberFormat="1" applyFont="1" applyFill="1"/>
    <xf numFmtId="172" fontId="10" fillId="0" borderId="0" xfId="0" applyNumberFormat="1" applyFont="1" applyFill="1"/>
    <xf numFmtId="10" fontId="10" fillId="0" borderId="0" xfId="2" applyNumberFormat="1" applyFont="1" applyFill="1"/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Fill="1" applyAlignment="1">
      <alignment horizontal="justify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00000000-0005-0000-0000-000005000000}"/>
    <cellStyle name="Normal 2 2" xfId="4" xr:uid="{00000000-0005-0000-0000-000006000000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 x14ac:dyDescent="0.25"/>
  <cols>
    <col min="1" max="16384" width="9.140625" style="5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K23"/>
  <sheetViews>
    <sheetView view="pageLayout" zoomScaleNormal="100" workbookViewId="0">
      <selection activeCell="B1" sqref="B1"/>
    </sheetView>
  </sheetViews>
  <sheetFormatPr defaultColWidth="8.7109375" defaultRowHeight="15" x14ac:dyDescent="0.25"/>
  <cols>
    <col min="1" max="1" width="8.7109375" style="45"/>
    <col min="2" max="2" width="4.7109375" style="45" customWidth="1"/>
    <col min="3" max="3" width="14.5703125" style="45" customWidth="1"/>
    <col min="4" max="4" width="12.5703125" style="45" bestFit="1" customWidth="1"/>
    <col min="5" max="5" width="6.42578125" style="45" bestFit="1" customWidth="1"/>
    <col min="6" max="7" width="11.42578125" style="45" bestFit="1" customWidth="1"/>
    <col min="8" max="8" width="12.5703125" style="45" bestFit="1" customWidth="1"/>
    <col min="9" max="9" width="8.7109375" style="45"/>
    <col min="10" max="10" width="16.7109375" style="45" bestFit="1" customWidth="1"/>
    <col min="11" max="11" width="12.28515625" style="45" bestFit="1" customWidth="1"/>
    <col min="12" max="16384" width="8.7109375" style="45"/>
  </cols>
  <sheetData>
    <row r="1" spans="1:11" x14ac:dyDescent="0.25">
      <c r="A1" s="90"/>
      <c r="B1" s="45" t="s">
        <v>160</v>
      </c>
    </row>
    <row r="2" spans="1:11" x14ac:dyDescent="0.25">
      <c r="A2" s="90"/>
      <c r="B2" s="45" t="s">
        <v>73</v>
      </c>
    </row>
    <row r="3" spans="1:11" x14ac:dyDescent="0.25">
      <c r="A3" s="39"/>
      <c r="C3" s="39" t="s">
        <v>47</v>
      </c>
      <c r="J3" s="91" t="s">
        <v>50</v>
      </c>
      <c r="K3" s="92"/>
    </row>
    <row r="4" spans="1:11" x14ac:dyDescent="0.25">
      <c r="C4" s="89" t="s">
        <v>51</v>
      </c>
      <c r="D4" s="89" t="s">
        <v>52</v>
      </c>
      <c r="E4" s="89" t="s">
        <v>53</v>
      </c>
      <c r="F4" s="89" t="s">
        <v>54</v>
      </c>
      <c r="G4" s="89" t="s">
        <v>55</v>
      </c>
      <c r="H4" s="89" t="s">
        <v>56</v>
      </c>
      <c r="I4" s="89"/>
      <c r="J4" s="41" t="s">
        <v>48</v>
      </c>
      <c r="K4" s="42" t="s">
        <v>49</v>
      </c>
    </row>
    <row r="5" spans="1:11" x14ac:dyDescent="0.25">
      <c r="A5" s="38">
        <v>44348</v>
      </c>
      <c r="C5" s="33">
        <v>3460079.4815072292</v>
      </c>
      <c r="D5" s="33">
        <v>1704824.8263340641</v>
      </c>
      <c r="E5" s="33">
        <v>0</v>
      </c>
      <c r="F5" s="33">
        <v>258402</v>
      </c>
      <c r="G5" s="33">
        <v>70804.45023992582</v>
      </c>
      <c r="H5" s="33">
        <v>3376805.5497600744</v>
      </c>
      <c r="I5" s="33"/>
      <c r="J5" s="33">
        <f>C5</f>
        <v>3460079.4815072292</v>
      </c>
      <c r="K5" s="33">
        <f>D5</f>
        <v>1704824.8263340641</v>
      </c>
    </row>
    <row r="6" spans="1:11" x14ac:dyDescent="0.25">
      <c r="A6" s="38">
        <v>44378</v>
      </c>
      <c r="C6" s="33">
        <v>1327853.2883690116</v>
      </c>
      <c r="D6" s="33">
        <v>1015539.9463882807</v>
      </c>
      <c r="E6" s="33">
        <v>0</v>
      </c>
      <c r="F6" s="33">
        <v>322566</v>
      </c>
      <c r="G6" s="33">
        <v>95445</v>
      </c>
      <c r="H6" s="33">
        <v>4735102</v>
      </c>
      <c r="I6" s="33"/>
      <c r="J6" s="33">
        <f t="shared" ref="J6:K23" si="0">C6</f>
        <v>1327853.2883690116</v>
      </c>
      <c r="K6" s="33">
        <f>D6</f>
        <v>1015539.9463882807</v>
      </c>
    </row>
    <row r="7" spans="1:11" x14ac:dyDescent="0.25">
      <c r="A7" s="38">
        <v>44409</v>
      </c>
      <c r="C7" s="33">
        <v>1005497.9655847928</v>
      </c>
      <c r="D7" s="33">
        <v>1147278.3250184369</v>
      </c>
      <c r="E7" s="33">
        <v>0</v>
      </c>
      <c r="F7" s="33">
        <v>294126</v>
      </c>
      <c r="G7" s="33">
        <v>100400</v>
      </c>
      <c r="H7" s="33">
        <v>4901757</v>
      </c>
      <c r="I7" s="33"/>
      <c r="J7" s="33">
        <f t="shared" si="0"/>
        <v>1005497.9655847928</v>
      </c>
      <c r="K7" s="33">
        <f t="shared" si="0"/>
        <v>1147278.3250184369</v>
      </c>
    </row>
    <row r="8" spans="1:11" x14ac:dyDescent="0.25">
      <c r="A8" s="38">
        <v>44440</v>
      </c>
      <c r="C8" s="33">
        <v>1643598.5261205202</v>
      </c>
      <c r="D8" s="33">
        <v>1425677.9435432833</v>
      </c>
      <c r="E8" s="33">
        <v>0</v>
      </c>
      <c r="F8" s="33">
        <v>263349</v>
      </c>
      <c r="G8" s="33">
        <v>116324</v>
      </c>
      <c r="H8" s="33">
        <v>5213260</v>
      </c>
      <c r="I8" s="33"/>
      <c r="J8" s="33">
        <f t="shared" si="0"/>
        <v>1643598.5261205202</v>
      </c>
      <c r="K8" s="33">
        <f t="shared" si="0"/>
        <v>1425677.9435432833</v>
      </c>
    </row>
    <row r="9" spans="1:11" x14ac:dyDescent="0.25">
      <c r="A9" s="38">
        <v>44470</v>
      </c>
      <c r="C9" s="33">
        <v>4611519.5085172998</v>
      </c>
      <c r="D9" s="33">
        <v>2564237.8504652488</v>
      </c>
      <c r="E9" s="33">
        <v>0</v>
      </c>
      <c r="F9" s="33">
        <v>295908</v>
      </c>
      <c r="G9" s="33">
        <v>109141.00000000001</v>
      </c>
      <c r="H9" s="33">
        <v>5409506</v>
      </c>
      <c r="I9" s="33"/>
      <c r="J9" s="33">
        <f t="shared" si="0"/>
        <v>4611519.5085172998</v>
      </c>
      <c r="K9" s="33">
        <f t="shared" si="0"/>
        <v>2564237.8504652488</v>
      </c>
    </row>
    <row r="10" spans="1:11" x14ac:dyDescent="0.25">
      <c r="A10" s="38">
        <v>44501</v>
      </c>
      <c r="C10" s="33">
        <v>8160955.8515249621</v>
      </c>
      <c r="D10" s="33">
        <v>3461410.3350985823</v>
      </c>
      <c r="E10" s="33">
        <v>0</v>
      </c>
      <c r="F10" s="33">
        <v>313716</v>
      </c>
      <c r="G10" s="33">
        <v>130135</v>
      </c>
      <c r="H10" s="33">
        <v>5256107</v>
      </c>
      <c r="I10" s="33"/>
      <c r="J10" s="33">
        <f t="shared" si="0"/>
        <v>8160955.8515249621</v>
      </c>
      <c r="K10" s="33">
        <f t="shared" si="0"/>
        <v>3461410.3350985823</v>
      </c>
    </row>
    <row r="11" spans="1:11" x14ac:dyDescent="0.25">
      <c r="A11" s="38">
        <v>44531</v>
      </c>
      <c r="C11" s="33">
        <v>11959873.297617419</v>
      </c>
      <c r="D11" s="33">
        <v>3924324.7302449709</v>
      </c>
      <c r="E11" s="33">
        <v>0</v>
      </c>
      <c r="F11" s="33">
        <v>277704</v>
      </c>
      <c r="G11" s="33">
        <v>113260</v>
      </c>
      <c r="H11" s="33">
        <v>6210403</v>
      </c>
      <c r="I11" s="33"/>
      <c r="J11" s="33">
        <f t="shared" si="0"/>
        <v>11959873.297617419</v>
      </c>
      <c r="K11" s="33">
        <f t="shared" si="0"/>
        <v>3924324.7302449709</v>
      </c>
    </row>
    <row r="12" spans="1:11" x14ac:dyDescent="0.25">
      <c r="A12" s="38">
        <v>44562</v>
      </c>
      <c r="C12" s="33">
        <v>11110617.674464984</v>
      </c>
      <c r="D12" s="33">
        <v>3605921.6708140587</v>
      </c>
      <c r="E12" s="33">
        <v>0</v>
      </c>
      <c r="F12" s="33">
        <v>327960</v>
      </c>
      <c r="G12" s="33">
        <v>133475</v>
      </c>
      <c r="H12" s="33">
        <v>6545457</v>
      </c>
      <c r="I12" s="33"/>
      <c r="J12" s="33">
        <f t="shared" si="0"/>
        <v>11110617.674464984</v>
      </c>
      <c r="K12" s="33">
        <f t="shared" si="0"/>
        <v>3605921.6708140587</v>
      </c>
    </row>
    <row r="13" spans="1:11" x14ac:dyDescent="0.25">
      <c r="A13" s="38">
        <v>44593</v>
      </c>
      <c r="C13" s="33">
        <v>9372444.7315719165</v>
      </c>
      <c r="D13" s="33">
        <v>3076712.1143950243</v>
      </c>
      <c r="E13" s="33">
        <v>0</v>
      </c>
      <c r="F13" s="33">
        <v>333330</v>
      </c>
      <c r="G13" s="33">
        <v>128808</v>
      </c>
      <c r="H13" s="33">
        <v>6047180</v>
      </c>
      <c r="I13" s="33"/>
      <c r="J13" s="33">
        <f t="shared" si="0"/>
        <v>9372444.7315719165</v>
      </c>
      <c r="K13" s="33">
        <f t="shared" si="0"/>
        <v>3076712.1143950243</v>
      </c>
    </row>
    <row r="14" spans="1:11" x14ac:dyDescent="0.25">
      <c r="A14" s="38">
        <v>44621</v>
      </c>
      <c r="C14" s="33">
        <v>8114170.7719528666</v>
      </c>
      <c r="D14" s="33">
        <v>2641511.072446025</v>
      </c>
      <c r="E14" s="33">
        <v>0</v>
      </c>
      <c r="F14" s="33">
        <v>292650</v>
      </c>
      <c r="G14" s="33">
        <v>116410.00000000001</v>
      </c>
      <c r="H14" s="33">
        <v>5934504</v>
      </c>
      <c r="I14" s="33"/>
      <c r="J14" s="33">
        <f t="shared" si="0"/>
        <v>8114170.7719528666</v>
      </c>
      <c r="K14" s="33">
        <f t="shared" si="0"/>
        <v>2641511.072446025</v>
      </c>
    </row>
    <row r="15" spans="1:11" x14ac:dyDescent="0.25">
      <c r="A15" s="38">
        <v>44652</v>
      </c>
      <c r="C15" s="33">
        <v>5296162.0135948844</v>
      </c>
      <c r="D15" s="33">
        <v>1846028.3041470766</v>
      </c>
      <c r="E15" s="33">
        <v>0</v>
      </c>
      <c r="F15" s="33">
        <v>314946</v>
      </c>
      <c r="G15" s="33">
        <v>130197.99999999999</v>
      </c>
      <c r="H15" s="33">
        <v>5395671</v>
      </c>
      <c r="I15" s="33"/>
      <c r="J15" s="33">
        <f t="shared" si="0"/>
        <v>5296162.0135948844</v>
      </c>
      <c r="K15" s="33">
        <f t="shared" si="0"/>
        <v>1846028.3041470766</v>
      </c>
    </row>
    <row r="16" spans="1:11" x14ac:dyDescent="0.25">
      <c r="A16" s="38">
        <v>44682</v>
      </c>
      <c r="C16" s="33">
        <v>2953074.8598530828</v>
      </c>
      <c r="D16" s="33">
        <v>1134555.9709718297</v>
      </c>
      <c r="E16" s="33">
        <v>0</v>
      </c>
      <c r="F16" s="33">
        <v>333342</v>
      </c>
      <c r="G16" s="33">
        <v>122365</v>
      </c>
      <c r="H16" s="33">
        <v>5111390</v>
      </c>
      <c r="I16" s="33"/>
      <c r="J16" s="33">
        <f t="shared" si="0"/>
        <v>2953074.8598530828</v>
      </c>
      <c r="K16" s="33">
        <f t="shared" si="0"/>
        <v>1134555.9709718297</v>
      </c>
    </row>
    <row r="17" spans="1:11" x14ac:dyDescent="0.25">
      <c r="A17" s="38">
        <v>44713</v>
      </c>
      <c r="C17" s="33">
        <v>2048365.9165984008</v>
      </c>
      <c r="D17" s="33">
        <v>1224169.0518388571</v>
      </c>
      <c r="E17" s="33">
        <v>0</v>
      </c>
      <c r="F17" s="33">
        <v>344337</v>
      </c>
      <c r="G17" s="33">
        <v>121752</v>
      </c>
      <c r="H17" s="33">
        <v>5049949</v>
      </c>
      <c r="I17" s="33"/>
      <c r="J17" s="33">
        <f>C17</f>
        <v>2048365.9165984008</v>
      </c>
      <c r="K17" s="33">
        <f t="shared" si="0"/>
        <v>1224169.0518388571</v>
      </c>
    </row>
    <row r="18" spans="1:11" x14ac:dyDescent="0.25">
      <c r="A18" s="38">
        <v>44743</v>
      </c>
      <c r="C18" s="33">
        <v>1420916.779402094</v>
      </c>
      <c r="D18" s="33">
        <v>1058341.2951853091</v>
      </c>
      <c r="E18" s="33">
        <v>0</v>
      </c>
      <c r="F18" s="33">
        <v>321771</v>
      </c>
      <c r="G18" s="33">
        <v>113012</v>
      </c>
      <c r="H18" s="33">
        <v>4772089</v>
      </c>
      <c r="I18" s="33"/>
      <c r="J18" s="33">
        <f t="shared" si="0"/>
        <v>1420916.779402094</v>
      </c>
      <c r="K18" s="33">
        <f t="shared" si="0"/>
        <v>1058341.2951853091</v>
      </c>
    </row>
    <row r="19" spans="1:11" x14ac:dyDescent="0.25">
      <c r="A19" s="38">
        <v>44774</v>
      </c>
      <c r="C19" s="33">
        <v>1250165.0597157262</v>
      </c>
      <c r="D19" s="33">
        <v>1154261.2480635843</v>
      </c>
      <c r="E19" s="33">
        <v>0</v>
      </c>
      <c r="F19" s="33">
        <v>293097</v>
      </c>
      <c r="G19" s="33">
        <v>114603</v>
      </c>
      <c r="H19" s="33">
        <v>4917893</v>
      </c>
      <c r="I19" s="33"/>
      <c r="J19" s="33">
        <f t="shared" si="0"/>
        <v>1250165.0597157262</v>
      </c>
      <c r="K19" s="33">
        <f t="shared" si="0"/>
        <v>1154261.2480635843</v>
      </c>
    </row>
    <row r="20" spans="1:11" x14ac:dyDescent="0.25">
      <c r="A20" s="38">
        <v>44805</v>
      </c>
      <c r="C20" s="33">
        <v>1672920.1688449671</v>
      </c>
      <c r="D20" s="33">
        <v>1414620.9575354964</v>
      </c>
      <c r="E20" s="33">
        <v>0</v>
      </c>
      <c r="F20" s="33">
        <v>272577</v>
      </c>
      <c r="G20" s="33">
        <v>128828</v>
      </c>
      <c r="H20" s="33">
        <v>5220300</v>
      </c>
      <c r="I20" s="33"/>
      <c r="J20" s="33">
        <f t="shared" si="0"/>
        <v>1672920.1688449671</v>
      </c>
      <c r="K20" s="33">
        <f t="shared" si="0"/>
        <v>1414620.9575354964</v>
      </c>
    </row>
    <row r="21" spans="1:11" x14ac:dyDescent="0.25">
      <c r="A21" s="38">
        <v>44835</v>
      </c>
      <c r="C21" s="33">
        <v>4564397.3847866803</v>
      </c>
      <c r="D21" s="33">
        <v>2583856.8100288943</v>
      </c>
      <c r="E21" s="33">
        <v>0</v>
      </c>
      <c r="F21" s="33">
        <v>304437</v>
      </c>
      <c r="G21" s="33">
        <v>114109.99999999999</v>
      </c>
      <c r="H21" s="33">
        <v>5412577</v>
      </c>
      <c r="I21" s="33"/>
      <c r="J21" s="33">
        <f t="shared" si="0"/>
        <v>4564397.3847866803</v>
      </c>
      <c r="K21" s="33">
        <f t="shared" si="0"/>
        <v>2583856.8100288943</v>
      </c>
    </row>
    <row r="22" spans="1:11" x14ac:dyDescent="0.25">
      <c r="A22" s="38">
        <v>44866</v>
      </c>
      <c r="C22" s="33">
        <v>8245416.1275444357</v>
      </c>
      <c r="D22" s="33">
        <v>3454878.0947351605</v>
      </c>
      <c r="E22" s="33">
        <v>0</v>
      </c>
      <c r="F22" s="33">
        <v>335700</v>
      </c>
      <c r="G22" s="33">
        <v>140983</v>
      </c>
      <c r="H22" s="33">
        <v>5257447</v>
      </c>
      <c r="I22" s="33"/>
      <c r="J22" s="33">
        <f t="shared" si="0"/>
        <v>8245416.1275444357</v>
      </c>
      <c r="K22" s="33">
        <f t="shared" si="0"/>
        <v>3454878.0947351605</v>
      </c>
    </row>
    <row r="23" spans="1:11" x14ac:dyDescent="0.25">
      <c r="A23" s="38">
        <v>44896</v>
      </c>
      <c r="C23" s="33">
        <v>12020321.240121178</v>
      </c>
      <c r="D23" s="33">
        <v>3977381.0345857027</v>
      </c>
      <c r="E23" s="33">
        <v>0</v>
      </c>
      <c r="F23" s="33">
        <v>300516</v>
      </c>
      <c r="G23" s="33">
        <v>134756</v>
      </c>
      <c r="H23" s="33">
        <v>6210988</v>
      </c>
      <c r="I23" s="33"/>
      <c r="J23" s="33">
        <f t="shared" si="0"/>
        <v>12020321.240121178</v>
      </c>
      <c r="K23" s="33">
        <f t="shared" si="0"/>
        <v>3977381.0345857027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74"/>
  <sheetViews>
    <sheetView tabSelected="1" topLeftCell="A24" zoomScaleNormal="100" workbookViewId="0">
      <selection activeCell="H39" sqref="H39:K39"/>
    </sheetView>
  </sheetViews>
  <sheetFormatPr defaultColWidth="8.7109375" defaultRowHeight="15" x14ac:dyDescent="0.25"/>
  <cols>
    <col min="1" max="1" width="5.28515625" style="40" customWidth="1"/>
    <col min="2" max="2" width="33.140625" style="40" customWidth="1"/>
    <col min="3" max="3" width="13" style="40" customWidth="1"/>
    <col min="4" max="4" width="16.7109375" style="40" customWidth="1"/>
    <col min="5" max="5" width="17.140625" style="40" customWidth="1"/>
    <col min="6" max="6" width="2.28515625" style="40" customWidth="1"/>
    <col min="7" max="7" width="5.28515625" style="40" customWidth="1"/>
    <col min="8" max="8" width="32.7109375" style="40" customWidth="1"/>
    <col min="9" max="9" width="16.85546875" style="40" customWidth="1"/>
    <col min="10" max="10" width="15.85546875" style="40" customWidth="1"/>
    <col min="11" max="11" width="17.5703125" style="40" customWidth="1"/>
    <col min="12" max="12" width="2.28515625" style="40" customWidth="1"/>
    <col min="13" max="13" width="12.5703125" style="40" bestFit="1" customWidth="1"/>
    <col min="14" max="14" width="11.140625" style="40" bestFit="1" customWidth="1"/>
    <col min="15" max="15" width="10" style="40" customWidth="1"/>
    <col min="16" max="16384" width="8.7109375" style="40"/>
  </cols>
  <sheetData>
    <row r="1" spans="1:15" x14ac:dyDescent="0.25">
      <c r="B1" s="135" t="s">
        <v>0</v>
      </c>
      <c r="C1" s="135"/>
      <c r="D1" s="135"/>
      <c r="E1" s="135"/>
      <c r="F1" s="80"/>
      <c r="G1" s="94"/>
      <c r="H1" s="135" t="s">
        <v>0</v>
      </c>
      <c r="I1" s="135"/>
      <c r="J1" s="135"/>
      <c r="K1" s="135"/>
    </row>
    <row r="2" spans="1:15" x14ac:dyDescent="0.25">
      <c r="B2" s="135" t="s">
        <v>77</v>
      </c>
      <c r="C2" s="135"/>
      <c r="D2" s="135"/>
      <c r="E2" s="135"/>
      <c r="F2" s="80"/>
      <c r="G2" s="94"/>
      <c r="H2" s="135" t="s">
        <v>77</v>
      </c>
      <c r="I2" s="135"/>
      <c r="J2" s="135"/>
      <c r="K2" s="135"/>
    </row>
    <row r="3" spans="1:15" x14ac:dyDescent="0.25">
      <c r="B3" s="135" t="s">
        <v>144</v>
      </c>
      <c r="C3" s="135"/>
      <c r="D3" s="135"/>
      <c r="E3" s="135"/>
      <c r="F3" s="80"/>
      <c r="G3" s="94"/>
      <c r="H3" s="135" t="s">
        <v>144</v>
      </c>
      <c r="I3" s="135"/>
      <c r="J3" s="135"/>
      <c r="K3" s="135"/>
    </row>
    <row r="4" spans="1: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5" x14ac:dyDescent="0.25">
      <c r="B5" s="136" t="s">
        <v>86</v>
      </c>
      <c r="C5" s="136"/>
      <c r="D5" s="136"/>
      <c r="E5" s="136"/>
      <c r="F5" s="60"/>
      <c r="G5" s="37"/>
      <c r="H5" s="136" t="s">
        <v>87</v>
      </c>
      <c r="I5" s="136"/>
      <c r="J5" s="136"/>
      <c r="K5" s="136"/>
    </row>
    <row r="6" spans="1:15" ht="30" customHeight="1" x14ac:dyDescent="0.25">
      <c r="A6" s="95" t="s">
        <v>57</v>
      </c>
      <c r="B6" s="96" t="s">
        <v>1</v>
      </c>
      <c r="C6" s="96" t="s">
        <v>3</v>
      </c>
      <c r="D6" s="96" t="s">
        <v>4</v>
      </c>
      <c r="E6" s="96" t="s">
        <v>66</v>
      </c>
      <c r="F6" s="96"/>
      <c r="G6" s="95" t="s">
        <v>57</v>
      </c>
      <c r="H6" s="96" t="s">
        <v>1</v>
      </c>
      <c r="I6" s="96" t="s">
        <v>3</v>
      </c>
      <c r="J6" s="96" t="s">
        <v>4</v>
      </c>
      <c r="K6" s="96" t="s">
        <v>66</v>
      </c>
    </row>
    <row r="7" spans="1:15" x14ac:dyDescent="0.25">
      <c r="A7" s="80">
        <v>1</v>
      </c>
      <c r="B7" s="96"/>
      <c r="C7" s="97">
        <f>(C8/E22)</f>
        <v>-4.8907811084818922E-3</v>
      </c>
      <c r="D7" s="121">
        <v>0.01</v>
      </c>
      <c r="E7" s="96"/>
      <c r="F7" s="96"/>
      <c r="G7" s="80">
        <v>1</v>
      </c>
      <c r="H7" s="96"/>
      <c r="I7" s="97">
        <f>(I8/K22)</f>
        <v>-4.8582649215061354E-3</v>
      </c>
      <c r="J7" s="121">
        <v>0.01</v>
      </c>
      <c r="K7" s="96"/>
      <c r="O7" s="80"/>
    </row>
    <row r="8" spans="1:15" x14ac:dyDescent="0.25">
      <c r="A8" s="80">
        <v>2</v>
      </c>
      <c r="B8" s="98">
        <v>44470</v>
      </c>
      <c r="C8" s="46">
        <f>C50+C51</f>
        <v>-332201.73151646118</v>
      </c>
      <c r="D8" s="46"/>
      <c r="E8" s="37"/>
      <c r="F8" s="37"/>
      <c r="G8" s="80">
        <v>2</v>
      </c>
      <c r="H8" s="98">
        <f>B8</f>
        <v>44470</v>
      </c>
      <c r="I8" s="46">
        <f>I50+I51</f>
        <v>-131783.90266311076</v>
      </c>
      <c r="J8" s="46"/>
      <c r="K8" s="37"/>
    </row>
    <row r="9" spans="1:15" x14ac:dyDescent="0.25">
      <c r="A9" s="80">
        <v>3</v>
      </c>
      <c r="B9" s="98">
        <f>EDATE(B8,1)</f>
        <v>44501</v>
      </c>
      <c r="C9" s="46">
        <f>C8+D9-$C$7*E9</f>
        <v>-292548.48698330449</v>
      </c>
      <c r="D9" s="46">
        <f>(C8-$C$7*E9/2)*($D$7/12)</f>
        <v>-260.20417263630389</v>
      </c>
      <c r="E9" s="85">
        <f>'Forecast Usage by Sched'!J10</f>
        <v>8160955.8515249621</v>
      </c>
      <c r="F9" s="85"/>
      <c r="G9" s="80">
        <v>3</v>
      </c>
      <c r="H9" s="98">
        <f t="shared" ref="H9:H20" si="0">B9</f>
        <v>44501</v>
      </c>
      <c r="I9" s="46">
        <f>I8+J9-K9*$I$7</f>
        <v>-115070.2673185443</v>
      </c>
      <c r="J9" s="46">
        <f>(I8-$I$7*K9/2)*$J$7/12</f>
        <v>-102.81306538178053</v>
      </c>
      <c r="K9" s="85">
        <f>'Forecast Usage by Sched'!K10</f>
        <v>3461410.3350985823</v>
      </c>
      <c r="M9" s="43"/>
      <c r="N9" s="43"/>
      <c r="O9" s="43"/>
    </row>
    <row r="10" spans="1:15" x14ac:dyDescent="0.25">
      <c r="A10" s="80">
        <v>4</v>
      </c>
      <c r="B10" s="98">
        <f t="shared" ref="B10:B20" si="1">EDATE(B9,1)</f>
        <v>44531</v>
      </c>
      <c r="C10" s="46">
        <f t="shared" ref="C10:C20" si="2">C9+D10-$C$7*E10</f>
        <v>-234274.78287097299</v>
      </c>
      <c r="D10" s="46">
        <f t="shared" ref="D10:D20" si="3">(C9-$C$7*E10/2)*($D$7/12)</f>
        <v>-219.41827149282696</v>
      </c>
      <c r="E10" s="85">
        <f>'Forecast Usage by Sched'!J11</f>
        <v>11959873.297617419</v>
      </c>
      <c r="F10" s="85"/>
      <c r="G10" s="80">
        <v>4</v>
      </c>
      <c r="H10" s="98">
        <f t="shared" si="0"/>
        <v>44531</v>
      </c>
      <c r="I10" s="46">
        <f t="shared" ref="I10:I20" si="4">I9+J10-K10*$I$7</f>
        <v>-96092.806109937606</v>
      </c>
      <c r="J10" s="46">
        <f t="shared" ref="J10:J20" si="5">(I9-$I$7*K10/2)*$J$7/12</f>
        <v>-87.947968941475168</v>
      </c>
      <c r="K10" s="85">
        <f>'Forecast Usage by Sched'!K11</f>
        <v>3924324.7302449709</v>
      </c>
      <c r="M10" s="43"/>
      <c r="N10" s="43"/>
      <c r="O10" s="43"/>
    </row>
    <row r="11" spans="1:15" x14ac:dyDescent="0.25">
      <c r="A11" s="80">
        <v>5</v>
      </c>
      <c r="B11" s="98">
        <f t="shared" si="1"/>
        <v>44562</v>
      </c>
      <c r="C11" s="46">
        <f t="shared" si="2"/>
        <v>-180107.77133126633</v>
      </c>
      <c r="D11" s="46">
        <f t="shared" si="3"/>
        <v>-172.58748613171153</v>
      </c>
      <c r="E11" s="85">
        <f>'Forecast Usage by Sched'!J12</f>
        <v>11110617.674464984</v>
      </c>
      <c r="F11" s="85"/>
      <c r="G11" s="80">
        <v>5</v>
      </c>
      <c r="H11" s="98">
        <f t="shared" si="0"/>
        <v>44562</v>
      </c>
      <c r="I11" s="46">
        <f t="shared" si="4"/>
        <v>-78647.061300863221</v>
      </c>
      <c r="J11" s="46">
        <f t="shared" si="5"/>
        <v>-72.777953940358529</v>
      </c>
      <c r="K11" s="85">
        <f>'Forecast Usage by Sched'!K12</f>
        <v>3605921.6708140587</v>
      </c>
      <c r="M11" s="43"/>
      <c r="N11" s="43"/>
      <c r="O11" s="43"/>
    </row>
    <row r="12" spans="1:15" x14ac:dyDescent="0.25">
      <c r="A12" s="80">
        <v>6</v>
      </c>
      <c r="B12" s="98">
        <f t="shared" si="1"/>
        <v>44593</v>
      </c>
      <c r="C12" s="46">
        <f t="shared" si="2"/>
        <v>-134400.18610073254</v>
      </c>
      <c r="D12" s="46">
        <f t="shared" si="3"/>
        <v>-130.99040292877922</v>
      </c>
      <c r="E12" s="85">
        <f>'Forecast Usage by Sched'!J13</f>
        <v>9372444.7315719165</v>
      </c>
      <c r="F12" s="85"/>
      <c r="G12" s="80">
        <v>6</v>
      </c>
      <c r="H12" s="98">
        <f t="shared" si="0"/>
        <v>44593</v>
      </c>
      <c r="I12" s="46">
        <f t="shared" si="4"/>
        <v>-63758.889861951058</v>
      </c>
      <c r="J12" s="46">
        <f t="shared" si="5"/>
        <v>-59.311100026161718</v>
      </c>
      <c r="K12" s="85">
        <f>'Forecast Usage by Sched'!K13</f>
        <v>3076712.1143950243</v>
      </c>
      <c r="M12" s="43"/>
      <c r="N12" s="43"/>
      <c r="O12" s="43"/>
    </row>
    <row r="13" spans="1:15" x14ac:dyDescent="0.25">
      <c r="A13" s="80">
        <v>7</v>
      </c>
      <c r="B13" s="98">
        <f t="shared" si="1"/>
        <v>44621</v>
      </c>
      <c r="C13" s="46">
        <f t="shared" si="2"/>
        <v>-94811.017869552452</v>
      </c>
      <c r="D13" s="46">
        <f t="shared" si="3"/>
        <v>-95.464891282917534</v>
      </c>
      <c r="E13" s="85">
        <f>'Forecast Usage by Sched'!J14</f>
        <v>8114170.7719528666</v>
      </c>
      <c r="F13" s="85"/>
      <c r="G13" s="80">
        <v>7</v>
      </c>
      <c r="H13" s="98">
        <f t="shared" si="0"/>
        <v>44621</v>
      </c>
      <c r="I13" s="46">
        <f t="shared" si="4"/>
        <v>-50973.514536891846</v>
      </c>
      <c r="J13" s="46">
        <f t="shared" si="5"/>
        <v>-47.785257975361475</v>
      </c>
      <c r="K13" s="85">
        <f>'Forecast Usage by Sched'!K14</f>
        <v>2641511.072446025</v>
      </c>
      <c r="M13" s="43"/>
      <c r="N13" s="43"/>
      <c r="O13" s="43"/>
    </row>
    <row r="14" spans="1:15" x14ac:dyDescent="0.25">
      <c r="A14" s="80">
        <v>8</v>
      </c>
      <c r="B14" s="98">
        <f t="shared" si="1"/>
        <v>44652</v>
      </c>
      <c r="C14" s="46">
        <f t="shared" si="2"/>
        <v>-68976.865273759642</v>
      </c>
      <c r="D14" s="46">
        <f t="shared" si="3"/>
        <v>-68.216527756481511</v>
      </c>
      <c r="E14" s="85">
        <f>'Forecast Usage by Sched'!J15</f>
        <v>5296162.0135948844</v>
      </c>
      <c r="F14" s="85"/>
      <c r="G14" s="80">
        <v>8</v>
      </c>
      <c r="H14" s="98">
        <f t="shared" si="0"/>
        <v>44652</v>
      </c>
      <c r="I14" s="46">
        <f t="shared" si="4"/>
        <v>-42043.761038796489</v>
      </c>
      <c r="J14" s="46">
        <f t="shared" si="5"/>
        <v>-38.741056049849369</v>
      </c>
      <c r="K14" s="85">
        <f>'Forecast Usage by Sched'!K15</f>
        <v>1846028.3041470766</v>
      </c>
      <c r="M14" s="43"/>
      <c r="N14" s="43"/>
      <c r="O14" s="43"/>
    </row>
    <row r="15" spans="1:15" x14ac:dyDescent="0.25">
      <c r="A15" s="80">
        <v>9</v>
      </c>
      <c r="B15" s="98">
        <f t="shared" si="1"/>
        <v>44682</v>
      </c>
      <c r="C15" s="46">
        <f t="shared" si="2"/>
        <v>-54585.485407178639</v>
      </c>
      <c r="D15" s="46">
        <f t="shared" si="3"/>
        <v>-51.462869921257095</v>
      </c>
      <c r="E15" s="85">
        <f>'Forecast Usage by Sched'!J16</f>
        <v>2953074.8598530828</v>
      </c>
      <c r="F15" s="85"/>
      <c r="G15" s="80">
        <v>9</v>
      </c>
      <c r="H15" s="98">
        <f t="shared" si="0"/>
        <v>44682</v>
      </c>
      <c r="I15" s="46">
        <f t="shared" si="4"/>
        <v>-36564.52737545636</v>
      </c>
      <c r="J15" s="46">
        <f t="shared" si="5"/>
        <v>-32.739811917639663</v>
      </c>
      <c r="K15" s="85">
        <f>'Forecast Usage by Sched'!K16</f>
        <v>1134555.9709718297</v>
      </c>
      <c r="M15" s="43"/>
      <c r="N15" s="43"/>
      <c r="O15" s="43"/>
    </row>
    <row r="16" spans="1:15" x14ac:dyDescent="0.25">
      <c r="A16" s="80">
        <v>10</v>
      </c>
      <c r="B16" s="98">
        <f t="shared" si="1"/>
        <v>44713</v>
      </c>
      <c r="C16" s="46">
        <f t="shared" si="2"/>
        <v>-44608.689771306905</v>
      </c>
      <c r="D16" s="46">
        <f t="shared" si="3"/>
        <v>-41.313692285916517</v>
      </c>
      <c r="E16" s="85">
        <f>'Forecast Usage by Sched'!J17</f>
        <v>2048365.9165984008</v>
      </c>
      <c r="F16" s="85"/>
      <c r="G16" s="80">
        <v>10</v>
      </c>
      <c r="H16" s="98">
        <f t="shared" si="0"/>
        <v>44713</v>
      </c>
      <c r="I16" s="46">
        <f t="shared" si="4"/>
        <v>-30645.182195076035</v>
      </c>
      <c r="J16" s="46">
        <f t="shared" si="5"/>
        <v>-27.992382161821073</v>
      </c>
      <c r="K16" s="85">
        <f>'Forecast Usage by Sched'!K17</f>
        <v>1224169.0518388571</v>
      </c>
      <c r="M16" s="43"/>
      <c r="N16" s="43"/>
      <c r="O16" s="43"/>
    </row>
    <row r="17" spans="1:15" x14ac:dyDescent="0.25">
      <c r="A17" s="80">
        <v>11</v>
      </c>
      <c r="B17" s="98">
        <f t="shared" si="1"/>
        <v>44743</v>
      </c>
      <c r="C17" s="46">
        <f t="shared" si="2"/>
        <v>-37693.575157632702</v>
      </c>
      <c r="D17" s="46">
        <f t="shared" si="3"/>
        <v>-34.278327750495464</v>
      </c>
      <c r="E17" s="85">
        <f>'Forecast Usage by Sched'!J18</f>
        <v>1420916.779402094</v>
      </c>
      <c r="F17" s="85"/>
      <c r="G17" s="80">
        <v>11</v>
      </c>
      <c r="H17" s="98">
        <f t="shared" si="0"/>
        <v>44743</v>
      </c>
      <c r="I17" s="46">
        <f t="shared" si="4"/>
        <v>-25526.875081529535</v>
      </c>
      <c r="J17" s="46">
        <f t="shared" si="5"/>
        <v>-23.395275833654964</v>
      </c>
      <c r="K17" s="85">
        <f>'Forecast Usage by Sched'!K18</f>
        <v>1058341.2951853091</v>
      </c>
      <c r="M17" s="43"/>
      <c r="N17" s="43"/>
      <c r="O17" s="43"/>
    </row>
    <row r="18" spans="1:15" x14ac:dyDescent="0.25">
      <c r="A18" s="80">
        <v>12</v>
      </c>
      <c r="B18" s="98">
        <f t="shared" si="1"/>
        <v>44774</v>
      </c>
      <c r="C18" s="46">
        <f t="shared" si="2"/>
        <v>-31608.155195532025</v>
      </c>
      <c r="D18" s="46">
        <f t="shared" si="3"/>
        <v>-28.863694441134832</v>
      </c>
      <c r="E18" s="85">
        <f>'Forecast Usage by Sched'!J19</f>
        <v>1250165.0597157262</v>
      </c>
      <c r="F18" s="85"/>
      <c r="G18" s="80">
        <v>12</v>
      </c>
      <c r="H18" s="98">
        <f t="shared" si="0"/>
        <v>44774</v>
      </c>
      <c r="I18" s="46">
        <f t="shared" si="4"/>
        <v>-19938.104001154723</v>
      </c>
      <c r="J18" s="46">
        <f t="shared" si="5"/>
        <v>-18.93585134639078</v>
      </c>
      <c r="K18" s="85">
        <f>'Forecast Usage by Sched'!K19</f>
        <v>1154261.2480635843</v>
      </c>
      <c r="M18" s="43"/>
      <c r="N18" s="43"/>
      <c r="O18" s="43"/>
    </row>
    <row r="19" spans="1:15" x14ac:dyDescent="0.25">
      <c r="A19" s="80">
        <v>13</v>
      </c>
      <c r="B19" s="98">
        <f t="shared" si="1"/>
        <v>44805</v>
      </c>
      <c r="C19" s="46">
        <f t="shared" si="2"/>
        <v>-23449.199847760588</v>
      </c>
      <c r="D19" s="46">
        <f t="shared" si="3"/>
        <v>-22.931010013866146</v>
      </c>
      <c r="E19" s="85">
        <f>'Forecast Usage by Sched'!J20</f>
        <v>1672920.1688449671</v>
      </c>
      <c r="F19" s="85"/>
      <c r="G19" s="80">
        <v>13</v>
      </c>
      <c r="H19" s="98">
        <f t="shared" si="0"/>
        <v>44805</v>
      </c>
      <c r="I19" s="46">
        <f t="shared" si="4"/>
        <v>-13079.252127860553</v>
      </c>
      <c r="J19" s="46">
        <f t="shared" si="5"/>
        <v>-13.751501927953051</v>
      </c>
      <c r="K19" s="85">
        <f>'Forecast Usage by Sched'!K20</f>
        <v>1414620.9575354964</v>
      </c>
      <c r="M19" s="43"/>
      <c r="N19" s="43"/>
      <c r="O19" s="43"/>
    </row>
    <row r="20" spans="1:15" x14ac:dyDescent="0.25">
      <c r="A20" s="80">
        <v>14</v>
      </c>
      <c r="B20" s="98">
        <f t="shared" si="1"/>
        <v>44835</v>
      </c>
      <c r="C20" s="46">
        <f t="shared" si="2"/>
        <v>-1135.9709013060747</v>
      </c>
      <c r="D20" s="46">
        <f t="shared" si="3"/>
        <v>-10.239554664334305</v>
      </c>
      <c r="E20" s="85">
        <f>'Forecast Usage by Sched'!J21</f>
        <v>4564397.3847866803</v>
      </c>
      <c r="F20" s="85"/>
      <c r="G20" s="80">
        <v>14</v>
      </c>
      <c r="H20" s="98">
        <f t="shared" si="0"/>
        <v>44835</v>
      </c>
      <c r="I20" s="46">
        <f t="shared" si="4"/>
        <v>-531.86016023299999</v>
      </c>
      <c r="J20" s="46">
        <f t="shared" si="5"/>
        <v>-5.6689347305679112</v>
      </c>
      <c r="K20" s="85">
        <f>'Forecast Usage by Sched'!K21</f>
        <v>2583856.8100288943</v>
      </c>
      <c r="M20" s="43"/>
      <c r="N20" s="43"/>
      <c r="O20" s="43"/>
    </row>
    <row r="21" spans="1:15" x14ac:dyDescent="0.25">
      <c r="B21" s="37"/>
      <c r="C21" s="37"/>
      <c r="D21" s="37"/>
      <c r="E21" s="37"/>
      <c r="F21" s="37"/>
      <c r="H21" s="37"/>
      <c r="I21" s="37"/>
      <c r="J21" s="37"/>
      <c r="K21" s="37"/>
    </row>
    <row r="22" spans="1:15" x14ac:dyDescent="0.25">
      <c r="A22" s="80">
        <v>15</v>
      </c>
      <c r="B22" s="37" t="s">
        <v>2</v>
      </c>
      <c r="C22" s="37"/>
      <c r="D22" s="46">
        <f>SUM(D9:D21)</f>
        <v>-1135.9709013060249</v>
      </c>
      <c r="E22" s="99">
        <f>SUM(E9:E21)</f>
        <v>67924064.509927988</v>
      </c>
      <c r="F22" s="99"/>
      <c r="G22" s="80">
        <v>15</v>
      </c>
      <c r="H22" s="37" t="s">
        <v>2</v>
      </c>
      <c r="I22" s="37"/>
      <c r="J22" s="46">
        <f>SUM(J9:J21)</f>
        <v>-531.8601602330142</v>
      </c>
      <c r="K22" s="99">
        <f>SUM(K9:K21)</f>
        <v>27125713.560769707</v>
      </c>
    </row>
    <row r="23" spans="1:15" ht="10.15" customHeight="1" x14ac:dyDescent="0.25">
      <c r="B23" s="37"/>
      <c r="C23" s="37"/>
      <c r="D23" s="46"/>
      <c r="E23" s="99"/>
      <c r="F23" s="99"/>
      <c r="H23" s="37"/>
      <c r="I23" s="37"/>
      <c r="J23" s="46"/>
      <c r="K23" s="99"/>
    </row>
    <row r="24" spans="1:15" ht="29.25" customHeight="1" x14ac:dyDescent="0.25">
      <c r="A24" s="80">
        <v>16</v>
      </c>
      <c r="B24" s="137" t="s">
        <v>6</v>
      </c>
      <c r="C24" s="137"/>
      <c r="D24" s="100">
        <f>(D22/E22)</f>
        <v>-1.6724130240174126E-5</v>
      </c>
      <c r="E24" s="99"/>
      <c r="F24" s="99"/>
      <c r="G24" s="80">
        <v>16</v>
      </c>
      <c r="H24" s="137" t="s">
        <v>6</v>
      </c>
      <c r="I24" s="137"/>
      <c r="J24" s="100">
        <f>(J22/K22)</f>
        <v>-1.9607232047241391E-5</v>
      </c>
      <c r="K24" s="99"/>
    </row>
    <row r="25" spans="1:15" ht="25.15" customHeight="1" x14ac:dyDescent="0.25">
      <c r="A25" s="80">
        <v>17</v>
      </c>
      <c r="B25" s="137" t="s">
        <v>7</v>
      </c>
      <c r="C25" s="137"/>
      <c r="D25" s="100">
        <f>C7</f>
        <v>-4.8907811084818922E-3</v>
      </c>
      <c r="E25" s="99"/>
      <c r="F25" s="99"/>
      <c r="G25" s="80">
        <v>17</v>
      </c>
      <c r="H25" s="137" t="s">
        <v>7</v>
      </c>
      <c r="I25" s="137"/>
      <c r="J25" s="100">
        <f>I7</f>
        <v>-4.8582649215061354E-3</v>
      </c>
      <c r="K25" s="99"/>
    </row>
    <row r="26" spans="1:15" ht="29.25" customHeight="1" x14ac:dyDescent="0.25">
      <c r="A26" s="80">
        <v>18</v>
      </c>
      <c r="B26" s="137" t="s">
        <v>8</v>
      </c>
      <c r="C26" s="137"/>
      <c r="D26" s="100">
        <f>D24+D25</f>
        <v>-4.9075052387220659E-3</v>
      </c>
      <c r="E26" s="101"/>
      <c r="F26" s="101"/>
      <c r="G26" s="80">
        <v>18</v>
      </c>
      <c r="H26" s="137" t="s">
        <v>8</v>
      </c>
      <c r="I26" s="137"/>
      <c r="J26" s="100">
        <f>J24+J25</f>
        <v>-4.8778721535533767E-3</v>
      </c>
      <c r="K26" s="101"/>
    </row>
    <row r="27" spans="1:15" ht="27.75" customHeight="1" x14ac:dyDescent="0.25">
      <c r="A27" s="80">
        <v>19</v>
      </c>
      <c r="B27" s="138" t="s">
        <v>9</v>
      </c>
      <c r="C27" s="138"/>
      <c r="D27" s="102">
        <f>'Conversion Factor'!$F$115</f>
        <v>1.004373</v>
      </c>
      <c r="E27" s="99"/>
      <c r="F27" s="99"/>
      <c r="G27" s="80">
        <v>19</v>
      </c>
      <c r="H27" s="138" t="s">
        <v>9</v>
      </c>
      <c r="I27" s="138"/>
      <c r="J27" s="102">
        <f>D27</f>
        <v>1.004373</v>
      </c>
      <c r="K27" s="99"/>
    </row>
    <row r="28" spans="1:15" ht="25.15" customHeight="1" x14ac:dyDescent="0.25">
      <c r="A28" s="80">
        <v>20</v>
      </c>
      <c r="B28" s="37" t="s">
        <v>78</v>
      </c>
      <c r="C28" s="37"/>
      <c r="D28" s="100">
        <f>ROUND(D26*D27,5)</f>
        <v>-4.9300000000000004E-3</v>
      </c>
      <c r="E28" s="99"/>
      <c r="F28" s="99"/>
      <c r="G28" s="80">
        <v>20</v>
      </c>
      <c r="H28" s="37" t="s">
        <v>78</v>
      </c>
      <c r="I28" s="37"/>
      <c r="J28" s="100">
        <f>ROUND(J26*J27,5)</f>
        <v>-4.8999999999999998E-3</v>
      </c>
      <c r="K28" s="99"/>
    </row>
    <row r="29" spans="1:15" ht="25.15" customHeight="1" x14ac:dyDescent="0.25">
      <c r="A29" s="80">
        <v>21</v>
      </c>
      <c r="B29" s="37" t="s">
        <v>42</v>
      </c>
      <c r="C29" s="37"/>
      <c r="D29" s="100">
        <f>'3% Test'!D23</f>
        <v>0</v>
      </c>
      <c r="E29" s="99"/>
      <c r="F29" s="99"/>
      <c r="G29" s="80">
        <v>21</v>
      </c>
      <c r="H29" s="37" t="s">
        <v>42</v>
      </c>
      <c r="I29" s="37"/>
      <c r="J29" s="100">
        <f>'3% Test'!E23</f>
        <v>0</v>
      </c>
      <c r="K29" s="99"/>
    </row>
    <row r="30" spans="1:15" ht="25.15" customHeight="1" x14ac:dyDescent="0.25">
      <c r="A30" s="80">
        <v>22</v>
      </c>
      <c r="B30" s="37" t="s">
        <v>79</v>
      </c>
      <c r="C30" s="37"/>
      <c r="D30" s="100">
        <f>D28+D29</f>
        <v>-4.9300000000000004E-3</v>
      </c>
      <c r="E30" s="36" t="str">
        <f>IF(D30&gt;0,"Surcharge Rate","Rebate Rate")</f>
        <v>Rebate Rate</v>
      </c>
      <c r="F30" s="99"/>
      <c r="G30" s="80">
        <v>22</v>
      </c>
      <c r="H30" s="37" t="s">
        <v>79</v>
      </c>
      <c r="I30" s="37"/>
      <c r="J30" s="100">
        <f>J28+J29</f>
        <v>-4.8999999999999998E-3</v>
      </c>
      <c r="K30" s="36" t="str">
        <f>IF(J30&gt;0,"Surcharge Rate","Rebate Rate")</f>
        <v>Rebate Rate</v>
      </c>
    </row>
    <row r="31" spans="1:15" ht="25.15" customHeight="1" x14ac:dyDescent="0.25">
      <c r="A31" s="80">
        <v>23</v>
      </c>
      <c r="B31" s="37"/>
      <c r="C31" s="103" t="s">
        <v>45</v>
      </c>
      <c r="D31" s="100">
        <f>(D30*'Conversion Factor'!$F$108)</f>
        <v>-4.9085347800000003E-3</v>
      </c>
      <c r="E31" s="99" t="s">
        <v>10</v>
      </c>
      <c r="F31" s="99"/>
      <c r="G31" s="80">
        <v>23</v>
      </c>
      <c r="H31" s="37"/>
      <c r="I31" s="103" t="s">
        <v>45</v>
      </c>
      <c r="J31" s="100">
        <f>(J30*'Conversion Factor'!$F$108)</f>
        <v>-4.8786654E-3</v>
      </c>
      <c r="K31" s="99" t="s">
        <v>10</v>
      </c>
    </row>
    <row r="32" spans="1:15" ht="25.15" customHeight="1" x14ac:dyDescent="0.25">
      <c r="A32" s="80">
        <v>24</v>
      </c>
      <c r="B32" s="37" t="s">
        <v>46</v>
      </c>
      <c r="C32" s="37"/>
      <c r="D32" s="46">
        <f>IF(D29=0,0,C62)</f>
        <v>0</v>
      </c>
      <c r="E32" s="99"/>
      <c r="F32" s="99"/>
      <c r="G32" s="80">
        <v>24</v>
      </c>
      <c r="H32" s="37" t="s">
        <v>46</v>
      </c>
      <c r="I32" s="37"/>
      <c r="J32" s="46">
        <f>IF(J29=0,0,I62)</f>
        <v>0</v>
      </c>
      <c r="K32" s="99"/>
    </row>
    <row r="33" spans="1:11" ht="14.65" customHeight="1" x14ac:dyDescent="0.25">
      <c r="B33" s="37"/>
      <c r="C33" s="37"/>
      <c r="D33" s="46"/>
      <c r="E33" s="99"/>
      <c r="F33" s="99"/>
      <c r="H33" s="37"/>
      <c r="I33" s="37"/>
      <c r="J33" s="46"/>
      <c r="K33" s="99"/>
    </row>
    <row r="34" spans="1:11" ht="18.600000000000001" customHeight="1" x14ac:dyDescent="0.25">
      <c r="A34" s="51" t="s">
        <v>43</v>
      </c>
      <c r="B34" s="37"/>
      <c r="C34" s="37"/>
      <c r="D34" s="46"/>
      <c r="E34" s="99"/>
      <c r="F34" s="99"/>
      <c r="G34" s="37" t="s">
        <v>43</v>
      </c>
      <c r="H34" s="37"/>
      <c r="I34" s="37"/>
      <c r="J34" s="46"/>
      <c r="K34" s="99"/>
    </row>
    <row r="35" spans="1:11" ht="45" customHeight="1" x14ac:dyDescent="0.25">
      <c r="A35" s="104" t="s">
        <v>61</v>
      </c>
      <c r="B35" s="139" t="str">
        <f>"Deferral balance at the end of the month, Rate of "&amp;TEXT(D25,"$0.00000")&amp;" to recover the October 2021 balance of "&amp;TEXT(C8,"$000,000")&amp;" over 12 months.  See page 2 of Exhibit B for October 2021 balance calculation."</f>
        <v>Deferral balance at the end of the month, Rate of -$0.00489 to recover the October 2021 balance of -$332,202 over 12 months.  See page 2 of Exhibit B for October 2021 balance calculation.</v>
      </c>
      <c r="C35" s="139"/>
      <c r="D35" s="139"/>
      <c r="E35" s="139"/>
      <c r="F35" s="99"/>
      <c r="G35" s="104" t="s">
        <v>61</v>
      </c>
      <c r="H35" s="139" t="str">
        <f>"Deferral balance at the end of the month, Rate of "&amp;TEXT(J25,"$0.00000")&amp;" to rebate the October 2021 balance of "&amp;TEXT(I8,"$000,000")&amp;" over 12 months.  See page 4 of Exhibit B for October 2021 balance calculation."</f>
        <v>Deferral balance at the end of the month, Rate of -$0.00486 to rebate the October 2021 balance of -$131,784 over 12 months.  See page 4 of Exhibit B for October 2021 balance calculation.</v>
      </c>
      <c r="I35" s="139"/>
      <c r="J35" s="139"/>
      <c r="K35" s="139"/>
    </row>
    <row r="36" spans="1:11" ht="45" customHeight="1" x14ac:dyDescent="0.25">
      <c r="A36" s="104" t="s">
        <v>62</v>
      </c>
      <c r="B36" s="139" t="s">
        <v>71</v>
      </c>
      <c r="C36" s="139"/>
      <c r="D36" s="139"/>
      <c r="E36" s="139"/>
      <c r="F36" s="99"/>
      <c r="G36" s="104" t="s">
        <v>62</v>
      </c>
      <c r="H36" s="139" t="s">
        <v>71</v>
      </c>
      <c r="I36" s="139"/>
      <c r="J36" s="139"/>
      <c r="K36" s="139"/>
    </row>
    <row r="37" spans="1:11" ht="15.6" customHeight="1" x14ac:dyDescent="0.25">
      <c r="B37" s="122" t="s">
        <v>145</v>
      </c>
      <c r="C37" s="105"/>
      <c r="D37" s="105"/>
      <c r="E37" s="105"/>
      <c r="F37" s="99"/>
      <c r="H37" s="122" t="s">
        <v>145</v>
      </c>
      <c r="I37" s="105"/>
      <c r="J37" s="105"/>
      <c r="K37" s="105"/>
    </row>
    <row r="38" spans="1:11" ht="18" customHeight="1" x14ac:dyDescent="0.25">
      <c r="A38" s="106" t="s">
        <v>63</v>
      </c>
      <c r="B38" s="140" t="s">
        <v>161</v>
      </c>
      <c r="C38" s="140"/>
      <c r="D38" s="140"/>
      <c r="E38" s="140"/>
      <c r="F38" s="99"/>
      <c r="G38" s="106" t="s">
        <v>63</v>
      </c>
      <c r="H38" s="140" t="str">
        <f>B38</f>
        <v>AVU-G-21-01 conversion factor, see page 7 of  Exhibit B.</v>
      </c>
      <c r="I38" s="140"/>
      <c r="J38" s="140"/>
      <c r="K38" s="140"/>
    </row>
    <row r="39" spans="1:11" ht="18" customHeight="1" x14ac:dyDescent="0.25">
      <c r="A39" s="106" t="s">
        <v>64</v>
      </c>
      <c r="B39" s="140" t="s">
        <v>127</v>
      </c>
      <c r="C39" s="140"/>
      <c r="D39" s="140"/>
      <c r="E39" s="140"/>
      <c r="F39" s="99"/>
      <c r="G39" s="106" t="s">
        <v>64</v>
      </c>
      <c r="H39" s="140" t="s">
        <v>127</v>
      </c>
      <c r="I39" s="140"/>
      <c r="J39" s="140"/>
      <c r="K39" s="140"/>
    </row>
    <row r="40" spans="1:11" ht="18" customHeight="1" x14ac:dyDescent="0.25">
      <c r="A40" s="106" t="s">
        <v>65</v>
      </c>
      <c r="B40" s="140" t="s">
        <v>128</v>
      </c>
      <c r="C40" s="140"/>
      <c r="D40" s="140"/>
      <c r="E40" s="140"/>
      <c r="F40" s="99"/>
      <c r="G40" s="106" t="s">
        <v>65</v>
      </c>
      <c r="H40" s="140" t="s">
        <v>128</v>
      </c>
      <c r="I40" s="140"/>
      <c r="J40" s="140"/>
      <c r="K40" s="140"/>
    </row>
    <row r="41" spans="1:11" x14ac:dyDescent="0.25">
      <c r="B41" s="37"/>
      <c r="C41" s="37"/>
      <c r="D41" s="46"/>
      <c r="E41" s="99"/>
      <c r="F41" s="99"/>
      <c r="H41" s="37"/>
      <c r="I41" s="37"/>
      <c r="J41" s="46"/>
      <c r="K41" s="99"/>
    </row>
    <row r="42" spans="1:11" ht="27.6" customHeight="1" x14ac:dyDescent="0.25">
      <c r="B42" s="141" t="str">
        <f>B5</f>
        <v>Idaho Residential Natural Gas</v>
      </c>
      <c r="C42" s="141"/>
      <c r="D42" s="141"/>
      <c r="E42" s="141"/>
      <c r="F42" s="96"/>
      <c r="H42" s="141" t="str">
        <f>H5</f>
        <v>Idaho Non-Residential Natural Gas</v>
      </c>
      <c r="I42" s="141"/>
      <c r="J42" s="141"/>
      <c r="K42" s="141"/>
    </row>
    <row r="43" spans="1:11" x14ac:dyDescent="0.25">
      <c r="A43" s="95"/>
      <c r="B43" s="142" t="s">
        <v>141</v>
      </c>
      <c r="C43" s="142"/>
      <c r="D43" s="142"/>
      <c r="E43" s="142"/>
      <c r="F43" s="37"/>
      <c r="G43" s="95"/>
      <c r="H43" s="142" t="s">
        <v>142</v>
      </c>
      <c r="I43" s="142"/>
      <c r="J43" s="142"/>
      <c r="K43" s="142"/>
    </row>
    <row r="44" spans="1:11" ht="30.6" customHeight="1" x14ac:dyDescent="0.25">
      <c r="A44" s="95" t="s">
        <v>57</v>
      </c>
      <c r="B44" s="37"/>
      <c r="C44" s="96" t="s">
        <v>5</v>
      </c>
      <c r="D44" s="96" t="s">
        <v>72</v>
      </c>
      <c r="E44" s="60" t="s">
        <v>44</v>
      </c>
      <c r="F44" s="60"/>
      <c r="G44" s="95" t="s">
        <v>57</v>
      </c>
      <c r="H44" s="37"/>
      <c r="I44" s="96" t="s">
        <v>5</v>
      </c>
      <c r="J44" s="96" t="s">
        <v>72</v>
      </c>
      <c r="K44" s="60" t="s">
        <v>44</v>
      </c>
    </row>
    <row r="45" spans="1:11" x14ac:dyDescent="0.25">
      <c r="B45" s="37"/>
      <c r="C45" s="37"/>
      <c r="D45" s="120">
        <v>0.01</v>
      </c>
      <c r="E45" s="37"/>
      <c r="F45" s="37"/>
      <c r="H45" s="37"/>
      <c r="I45" s="37"/>
      <c r="J45" s="120">
        <v>0.01</v>
      </c>
      <c r="K45" s="37"/>
    </row>
    <row r="46" spans="1:11" x14ac:dyDescent="0.25">
      <c r="A46" s="80">
        <v>1</v>
      </c>
      <c r="B46" s="98">
        <v>44377</v>
      </c>
      <c r="C46" s="93">
        <f>-343291.22+36591.71-17756.15</f>
        <v>-324455.65999999997</v>
      </c>
      <c r="D46" s="37"/>
      <c r="E46" s="37"/>
      <c r="F46" s="37"/>
      <c r="G46" s="80">
        <f>A46</f>
        <v>1</v>
      </c>
      <c r="H46" s="98">
        <f>B46</f>
        <v>44377</v>
      </c>
      <c r="I46" s="93">
        <f>-181511.27+57933.67-6853.07</f>
        <v>-130430.66999999998</v>
      </c>
      <c r="J46" s="37"/>
      <c r="K46" s="37"/>
    </row>
    <row r="47" spans="1:11" x14ac:dyDescent="0.25">
      <c r="A47" s="80">
        <v>2</v>
      </c>
      <c r="B47" s="98">
        <f>EDATE(B46,1)</f>
        <v>44407</v>
      </c>
      <c r="C47" s="46">
        <f t="shared" ref="C47" si="6">C46+D47-E47</f>
        <v>-324726.03971666662</v>
      </c>
      <c r="D47" s="46">
        <f t="shared" ref="D47" si="7">(C46-E47/2)*$D$45/12</f>
        <v>-270.37971666666664</v>
      </c>
      <c r="E47" s="37"/>
      <c r="F47" s="37"/>
      <c r="G47" s="125">
        <f t="shared" ref="G47:G74" si="8">A47</f>
        <v>2</v>
      </c>
      <c r="H47" s="98">
        <f t="shared" ref="H47:H63" si="9">B47</f>
        <v>44407</v>
      </c>
      <c r="I47" s="46">
        <f t="shared" ref="I47" si="10">I46+J47-K47</f>
        <v>-130539.36222499999</v>
      </c>
      <c r="J47" s="46">
        <f t="shared" ref="J47" si="11">(I46-K47/2)*$J$45/12</f>
        <v>-108.69222499999999</v>
      </c>
      <c r="K47" s="37"/>
    </row>
    <row r="48" spans="1:11" x14ac:dyDescent="0.25">
      <c r="A48" s="80">
        <v>3</v>
      </c>
      <c r="B48" s="98">
        <f t="shared" ref="B48:B50" si="12">EDATE(B47,1)</f>
        <v>44438</v>
      </c>
      <c r="C48" s="46">
        <f t="shared" ref="C48:C49" si="13">C47+D48-E48</f>
        <v>-324996.64474976383</v>
      </c>
      <c r="D48" s="46">
        <f t="shared" ref="D48:D50" si="14">(C47-E48/2)*$D$45/12</f>
        <v>-270.60503309722219</v>
      </c>
      <c r="E48" s="37"/>
      <c r="F48" s="37"/>
      <c r="G48" s="125">
        <f t="shared" si="8"/>
        <v>3</v>
      </c>
      <c r="H48" s="98">
        <f t="shared" si="9"/>
        <v>44438</v>
      </c>
      <c r="I48" s="46">
        <f t="shared" ref="I48:I63" si="15">I47+J48-K48</f>
        <v>-130648.14502685415</v>
      </c>
      <c r="J48" s="46">
        <f t="shared" ref="J48:J49" si="16">(I47-K48/2)*$J$45/12</f>
        <v>-108.78280185416666</v>
      </c>
      <c r="K48" s="37"/>
    </row>
    <row r="49" spans="1:11" x14ac:dyDescent="0.25">
      <c r="A49" s="80">
        <v>4</v>
      </c>
      <c r="B49" s="98">
        <f t="shared" si="12"/>
        <v>44469</v>
      </c>
      <c r="C49" s="46">
        <f t="shared" si="13"/>
        <v>-325267.47528705531</v>
      </c>
      <c r="D49" s="46">
        <f t="shared" si="14"/>
        <v>-270.83053729146985</v>
      </c>
      <c r="E49" s="37"/>
      <c r="F49" s="37"/>
      <c r="G49" s="125">
        <f t="shared" si="8"/>
        <v>4</v>
      </c>
      <c r="H49" s="98">
        <f t="shared" si="9"/>
        <v>44469</v>
      </c>
      <c r="I49" s="46">
        <f t="shared" si="15"/>
        <v>-130757.0184810432</v>
      </c>
      <c r="J49" s="46">
        <f t="shared" si="16"/>
        <v>-108.87345418904512</v>
      </c>
      <c r="K49" s="37"/>
    </row>
    <row r="50" spans="1:11" x14ac:dyDescent="0.25">
      <c r="A50" s="80">
        <v>5</v>
      </c>
      <c r="B50" s="98">
        <f t="shared" si="12"/>
        <v>44499</v>
      </c>
      <c r="C50" s="93">
        <f>C49+D50-E50</f>
        <v>-325538.53151646117</v>
      </c>
      <c r="D50" s="46">
        <f t="shared" si="14"/>
        <v>-271.05622940587944</v>
      </c>
      <c r="E50" s="37"/>
      <c r="F50" s="37"/>
      <c r="G50" s="125">
        <f t="shared" si="8"/>
        <v>5</v>
      </c>
      <c r="H50" s="107">
        <f t="shared" si="9"/>
        <v>44499</v>
      </c>
      <c r="I50" s="93">
        <f>I49+J50-K50</f>
        <v>-130865.98266311073</v>
      </c>
      <c r="J50" s="46">
        <f>(I49-K50/2)*$J$45/12</f>
        <v>-108.964182067536</v>
      </c>
      <c r="K50" s="37"/>
    </row>
    <row r="51" spans="1:11" x14ac:dyDescent="0.25">
      <c r="A51" s="80">
        <v>6</v>
      </c>
      <c r="B51" s="107" t="s">
        <v>140</v>
      </c>
      <c r="C51" s="93">
        <f>C69</f>
        <v>-6663.2000000000262</v>
      </c>
      <c r="D51" s="46"/>
      <c r="E51" s="37"/>
      <c r="F51" s="37"/>
      <c r="G51" s="125">
        <f t="shared" si="8"/>
        <v>6</v>
      </c>
      <c r="H51" s="107" t="str">
        <f t="shared" si="9"/>
        <v>prior year residual</v>
      </c>
      <c r="I51" s="93">
        <f>I69</f>
        <v>-917.92000000003463</v>
      </c>
      <c r="J51" s="46"/>
      <c r="K51" s="37"/>
    </row>
    <row r="52" spans="1:11" x14ac:dyDescent="0.25">
      <c r="A52" s="80">
        <v>7</v>
      </c>
      <c r="B52" s="98">
        <v>44501</v>
      </c>
      <c r="C52" s="46">
        <f>C50+C51+D52-E52</f>
        <v>-292403.53968428873</v>
      </c>
      <c r="D52" s="46">
        <f>(C50+C51-E52/2)*$D$45/12</f>
        <v>-260.1438030823615</v>
      </c>
      <c r="E52" s="46">
        <f t="shared" ref="E52:E63" si="17">E9*D$31</f>
        <v>-40058.335635254793</v>
      </c>
      <c r="F52" s="46"/>
      <c r="G52" s="125">
        <f t="shared" si="8"/>
        <v>7</v>
      </c>
      <c r="H52" s="98">
        <f t="shared" si="9"/>
        <v>44501</v>
      </c>
      <c r="I52" s="46">
        <f>I50+I51+J52-K52</f>
        <v>-114999.62346876672</v>
      </c>
      <c r="J52" s="46">
        <f>(I50+I51-K52/2)*$J$45/12</f>
        <v>-102.78364270382235</v>
      </c>
      <c r="K52" s="46">
        <f t="shared" ref="K52:K63" si="18">K9*J$31</f>
        <v>-16887.062837047859</v>
      </c>
    </row>
    <row r="53" spans="1:11" x14ac:dyDescent="0.25">
      <c r="A53" s="80">
        <v>8</v>
      </c>
      <c r="B53" s="98">
        <v>44531</v>
      </c>
      <c r="C53" s="46">
        <f t="shared" ref="C53:C63" si="19">C52+D53-E53</f>
        <v>-233917.29464909149</v>
      </c>
      <c r="D53" s="46">
        <f t="shared" ref="D53:D63" si="20">(C52-E53/2)*$D$45/12</f>
        <v>-219.20901055117875</v>
      </c>
      <c r="E53" s="46">
        <f t="shared" si="17"/>
        <v>-58705.454045748396</v>
      </c>
      <c r="F53" s="46"/>
      <c r="G53" s="125">
        <f t="shared" si="8"/>
        <v>8</v>
      </c>
      <c r="H53" s="98">
        <f t="shared" si="9"/>
        <v>44531</v>
      </c>
      <c r="I53" s="46">
        <f t="shared" si="15"/>
        <v>-95942.011930480294</v>
      </c>
      <c r="J53" s="46">
        <f>(I52-K53/2)*$J$45/12</f>
        <v>-87.855741524051254</v>
      </c>
      <c r="K53" s="46">
        <f t="shared" si="18"/>
        <v>-19145.467279810473</v>
      </c>
    </row>
    <row r="54" spans="1:11" ht="14.45" customHeight="1" x14ac:dyDescent="0.25">
      <c r="A54" s="80">
        <v>9</v>
      </c>
      <c r="B54" s="98">
        <v>44562</v>
      </c>
      <c r="C54" s="46">
        <f t="shared" si="19"/>
        <v>-179552.64875670397</v>
      </c>
      <c r="D54" s="46">
        <f t="shared" si="20"/>
        <v>-172.20739000657872</v>
      </c>
      <c r="E54" s="46">
        <f t="shared" si="17"/>
        <v>-54536.853282394091</v>
      </c>
      <c r="F54" s="46"/>
      <c r="G54" s="125">
        <f t="shared" si="8"/>
        <v>9</v>
      </c>
      <c r="H54" s="98">
        <f t="shared" si="9"/>
        <v>44562</v>
      </c>
      <c r="I54" s="46">
        <f t="shared" si="15"/>
        <v>-78422.548281040567</v>
      </c>
      <c r="J54" s="46">
        <f t="shared" ref="J54:J63" si="21">(I53-K54/2)*$J$45/12</f>
        <v>-72.621641071020775</v>
      </c>
      <c r="K54" s="46">
        <f t="shared" si="18"/>
        <v>-17592.085290510739</v>
      </c>
    </row>
    <row r="55" spans="1:11" x14ac:dyDescent="0.25">
      <c r="A55" s="80">
        <v>10</v>
      </c>
      <c r="B55" s="98">
        <v>44593</v>
      </c>
      <c r="C55" s="46">
        <f t="shared" si="19"/>
        <v>-133678.13628756162</v>
      </c>
      <c r="D55" s="46">
        <f t="shared" si="20"/>
        <v>-130.45846940619143</v>
      </c>
      <c r="E55" s="46">
        <f t="shared" si="17"/>
        <v>-46004.970938548518</v>
      </c>
      <c r="F55" s="46"/>
      <c r="G55" s="125">
        <f t="shared" si="8"/>
        <v>10</v>
      </c>
      <c r="H55" s="98">
        <f t="shared" si="9"/>
        <v>44593</v>
      </c>
      <c r="I55" s="46">
        <f t="shared" si="15"/>
        <v>-63471.39719595731</v>
      </c>
      <c r="J55" s="46">
        <f t="shared" si="21"/>
        <v>-59.097853176592203</v>
      </c>
      <c r="K55" s="46">
        <f t="shared" si="18"/>
        <v>-15010.248938259847</v>
      </c>
    </row>
    <row r="56" spans="1:11" x14ac:dyDescent="0.25">
      <c r="A56" s="80">
        <v>11</v>
      </c>
      <c r="B56" s="98">
        <v>44621</v>
      </c>
      <c r="C56" s="46">
        <f t="shared" si="19"/>
        <v>-93944.250002209068</v>
      </c>
      <c r="D56" s="46">
        <f t="shared" si="20"/>
        <v>-94.803159637555481</v>
      </c>
      <c r="E56" s="46">
        <f t="shared" si="17"/>
        <v>-39828.689444990094</v>
      </c>
      <c r="F56" s="46"/>
      <c r="G56" s="125">
        <f t="shared" si="8"/>
        <v>11</v>
      </c>
      <c r="H56" s="98">
        <f t="shared" si="9"/>
        <v>44621</v>
      </c>
      <c r="I56" s="46">
        <f t="shared" si="15"/>
        <v>-50631.871750480932</v>
      </c>
      <c r="J56" s="46">
        <f t="shared" si="21"/>
        <v>-47.523227382939716</v>
      </c>
      <c r="K56" s="46">
        <f t="shared" si="18"/>
        <v>-12887.048672859315</v>
      </c>
    </row>
    <row r="57" spans="1:11" x14ac:dyDescent="0.25">
      <c r="A57" s="80">
        <v>12</v>
      </c>
      <c r="B57" s="98">
        <v>44652</v>
      </c>
      <c r="C57" s="46">
        <f t="shared" si="19"/>
        <v>-68015.309601530476</v>
      </c>
      <c r="D57" s="46">
        <f t="shared" si="20"/>
        <v>-67.455043566738681</v>
      </c>
      <c r="E57" s="46">
        <f t="shared" si="17"/>
        <v>-25996.395444245325</v>
      </c>
      <c r="F57" s="46"/>
      <c r="G57" s="125">
        <f t="shared" si="8"/>
        <v>12</v>
      </c>
      <c r="H57" s="98">
        <f t="shared" si="9"/>
        <v>44652</v>
      </c>
      <c r="I57" s="46">
        <f t="shared" si="15"/>
        <v>-41664.157997737122</v>
      </c>
      <c r="J57" s="46">
        <f t="shared" si="21"/>
        <v>-38.44066211920785</v>
      </c>
      <c r="K57" s="46">
        <f t="shared" si="18"/>
        <v>-9006.1544148630182</v>
      </c>
    </row>
    <row r="58" spans="1:11" x14ac:dyDescent="0.25">
      <c r="A58" s="80">
        <v>13</v>
      </c>
      <c r="B58" s="98">
        <v>44682</v>
      </c>
      <c r="C58" s="46">
        <f t="shared" si="19"/>
        <v>-53570.678672558628</v>
      </c>
      <c r="D58" s="46">
        <f t="shared" si="20"/>
        <v>-50.639728560636861</v>
      </c>
      <c r="E58" s="46">
        <f t="shared" si="17"/>
        <v>-14495.270657532483</v>
      </c>
      <c r="F58" s="46"/>
      <c r="G58" s="125">
        <f t="shared" si="8"/>
        <v>13</v>
      </c>
      <c r="H58" s="98">
        <f t="shared" si="9"/>
        <v>44682</v>
      </c>
      <c r="I58" s="46">
        <f t="shared" si="15"/>
        <v>-36161.452869891589</v>
      </c>
      <c r="J58" s="46">
        <f t="shared" si="21"/>
        <v>-32.413832098137739</v>
      </c>
      <c r="K58" s="46">
        <f t="shared" si="18"/>
        <v>-5535.1189599436702</v>
      </c>
    </row>
    <row r="59" spans="1:11" x14ac:dyDescent="0.25">
      <c r="A59" s="80">
        <v>14</v>
      </c>
      <c r="B59" s="98">
        <v>44713</v>
      </c>
      <c r="C59" s="46">
        <f t="shared" si="19"/>
        <v>-43556.656196269345</v>
      </c>
      <c r="D59" s="46">
        <f t="shared" si="20"/>
        <v>-40.45286750055309</v>
      </c>
      <c r="E59" s="46">
        <f t="shared" si="17"/>
        <v>-10054.475343789831</v>
      </c>
      <c r="F59" s="46"/>
      <c r="G59" s="125">
        <f t="shared" si="8"/>
        <v>14</v>
      </c>
      <c r="H59" s="98">
        <f t="shared" si="9"/>
        <v>44713</v>
      </c>
      <c r="I59" s="46">
        <f t="shared" si="15"/>
        <v>-30216.78775399406</v>
      </c>
      <c r="J59" s="46">
        <f t="shared" si="21"/>
        <v>-27.646081059510891</v>
      </c>
      <c r="K59" s="46">
        <f t="shared" si="18"/>
        <v>-5972.3111969570391</v>
      </c>
    </row>
    <row r="60" spans="1:11" x14ac:dyDescent="0.25">
      <c r="A60" s="80">
        <v>15</v>
      </c>
      <c r="B60" s="98">
        <v>44743</v>
      </c>
      <c r="C60" s="46">
        <f t="shared" si="19"/>
        <v>-36615.427887155805</v>
      </c>
      <c r="D60" s="46">
        <f t="shared" si="20"/>
        <v>-33.391122067232466</v>
      </c>
      <c r="E60" s="46">
        <f t="shared" si="17"/>
        <v>-6974.6194311807667</v>
      </c>
      <c r="F60" s="46"/>
      <c r="G60" s="125">
        <f t="shared" si="8"/>
        <v>15</v>
      </c>
      <c r="H60" s="98">
        <f t="shared" si="9"/>
        <v>44743</v>
      </c>
      <c r="I60" s="46">
        <f t="shared" si="15"/>
        <v>-25076.523980136379</v>
      </c>
      <c r="J60" s="46">
        <f t="shared" si="21"/>
        <v>-23.029284354073486</v>
      </c>
      <c r="K60" s="46">
        <f t="shared" si="18"/>
        <v>-5163.2930582117542</v>
      </c>
    </row>
    <row r="61" spans="1:11" x14ac:dyDescent="0.25">
      <c r="A61" s="80">
        <v>16</v>
      </c>
      <c r="B61" s="98">
        <v>44774</v>
      </c>
      <c r="C61" s="46">
        <f t="shared" si="19"/>
        <v>-30506.905201257872</v>
      </c>
      <c r="D61" s="46">
        <f t="shared" si="20"/>
        <v>-27.955990457481747</v>
      </c>
      <c r="E61" s="46">
        <f t="shared" si="17"/>
        <v>-6136.4786763554193</v>
      </c>
      <c r="F61" s="46"/>
      <c r="G61" s="125">
        <f t="shared" si="8"/>
        <v>16</v>
      </c>
      <c r="H61" s="98">
        <f t="shared" si="9"/>
        <v>44774</v>
      </c>
      <c r="I61" s="46">
        <f t="shared" si="15"/>
        <v>-19463.820313958913</v>
      </c>
      <c r="J61" s="46">
        <f t="shared" si="21"/>
        <v>-18.550747311160055</v>
      </c>
      <c r="K61" s="46">
        <f t="shared" si="18"/>
        <v>-5631.2544134886257</v>
      </c>
    </row>
    <row r="62" spans="1:11" x14ac:dyDescent="0.25">
      <c r="A62" s="80">
        <v>17</v>
      </c>
      <c r="B62" s="98">
        <v>44805</v>
      </c>
      <c r="C62" s="46">
        <f t="shared" si="19"/>
        <v>-22317.319294806199</v>
      </c>
      <c r="D62" s="46">
        <f t="shared" si="20"/>
        <v>-22.00092648732365</v>
      </c>
      <c r="E62" s="46">
        <f t="shared" si="17"/>
        <v>-8211.5868329389941</v>
      </c>
      <c r="F62" s="46"/>
      <c r="G62" s="125">
        <f t="shared" si="8"/>
        <v>17</v>
      </c>
      <c r="H62" s="98">
        <f t="shared" si="9"/>
        <v>44805</v>
      </c>
      <c r="I62" s="46">
        <f t="shared" si="15"/>
        <v>-12575.7022352774</v>
      </c>
      <c r="J62" s="46">
        <f t="shared" si="21"/>
        <v>-13.344240961781054</v>
      </c>
      <c r="K62" s="46">
        <f t="shared" si="18"/>
        <v>-6901.4623196432958</v>
      </c>
    </row>
    <row r="63" spans="1:11" x14ac:dyDescent="0.25">
      <c r="A63" s="80">
        <v>18</v>
      </c>
      <c r="B63" s="98">
        <v>44835</v>
      </c>
      <c r="C63" s="93">
        <f t="shared" si="19"/>
        <v>77.921461794998322</v>
      </c>
      <c r="D63" s="46">
        <f t="shared" si="20"/>
        <v>-9.2625563652691394</v>
      </c>
      <c r="E63" s="46">
        <f t="shared" si="17"/>
        <v>-22404.503312966466</v>
      </c>
      <c r="F63" s="46"/>
      <c r="G63" s="125">
        <f t="shared" si="8"/>
        <v>18</v>
      </c>
      <c r="H63" s="107">
        <f t="shared" si="9"/>
        <v>44835</v>
      </c>
      <c r="I63" s="93">
        <f t="shared" si="15"/>
        <v>24.843235842894501</v>
      </c>
      <c r="J63" s="46">
        <f t="shared" si="21"/>
        <v>-5.2273465220468589</v>
      </c>
      <c r="K63" s="46">
        <f t="shared" si="18"/>
        <v>-12605.772817642341</v>
      </c>
    </row>
    <row r="64" spans="1:11" x14ac:dyDescent="0.25">
      <c r="B64" s="60"/>
      <c r="C64" s="37"/>
      <c r="D64" s="37"/>
      <c r="E64" s="37"/>
      <c r="F64" s="37"/>
      <c r="G64" s="125"/>
      <c r="H64" s="60"/>
      <c r="I64" s="37"/>
      <c r="J64" s="37"/>
      <c r="K64" s="37"/>
    </row>
    <row r="65" spans="1:11" x14ac:dyDescent="0.25">
      <c r="A65" s="80">
        <v>19</v>
      </c>
      <c r="B65" s="60" t="s">
        <v>58</v>
      </c>
      <c r="C65" s="37"/>
      <c r="D65" s="46">
        <f>SUM(D47:D64)</f>
        <v>-2210.8515841503395</v>
      </c>
      <c r="E65" s="46">
        <f>SUM(E52:E63)</f>
        <v>-333407.63304594532</v>
      </c>
      <c r="F65" s="37"/>
      <c r="G65" s="125">
        <f t="shared" si="8"/>
        <v>19</v>
      </c>
      <c r="H65" s="60" t="s">
        <v>58</v>
      </c>
      <c r="I65" s="37"/>
      <c r="J65" s="46">
        <f>SUM(J47:J64)</f>
        <v>-963.84696339509219</v>
      </c>
      <c r="K65" s="46">
        <f>SUM(K52:K63)</f>
        <v>-132337.28019923798</v>
      </c>
    </row>
    <row r="66" spans="1:11" x14ac:dyDescent="0.25">
      <c r="A66" s="80"/>
      <c r="B66" s="103"/>
      <c r="C66" s="37"/>
      <c r="D66" s="37"/>
      <c r="E66" s="37"/>
      <c r="F66" s="37"/>
      <c r="G66" s="125"/>
      <c r="H66" s="103"/>
      <c r="I66" s="37"/>
      <c r="J66" s="37"/>
      <c r="K66" s="37"/>
    </row>
    <row r="67" spans="1:11" x14ac:dyDescent="0.25">
      <c r="B67" s="108" t="s">
        <v>60</v>
      </c>
      <c r="G67" s="125"/>
      <c r="H67" s="108" t="s">
        <v>60</v>
      </c>
    </row>
    <row r="68" spans="1:11" x14ac:dyDescent="0.25">
      <c r="A68" s="80">
        <v>20</v>
      </c>
      <c r="B68" s="45" t="s">
        <v>148</v>
      </c>
      <c r="C68" s="109">
        <f>C46</f>
        <v>-324455.65999999997</v>
      </c>
      <c r="G68" s="125">
        <f t="shared" si="8"/>
        <v>20</v>
      </c>
      <c r="H68" s="40" t="str">
        <f>B68</f>
        <v>01.2020 - 06.2021 Deferred Revenue</v>
      </c>
      <c r="I68" s="109">
        <f>I46</f>
        <v>-130430.66999999998</v>
      </c>
    </row>
    <row r="69" spans="1:11" x14ac:dyDescent="0.25">
      <c r="A69" s="80">
        <v>21</v>
      </c>
      <c r="B69" s="40" t="s">
        <v>139</v>
      </c>
      <c r="C69" s="109">
        <f>'Prior Year Amortization'!F20</f>
        <v>-6663.2000000000262</v>
      </c>
      <c r="G69" s="125">
        <f t="shared" si="8"/>
        <v>21</v>
      </c>
      <c r="H69" s="40" t="s">
        <v>139</v>
      </c>
      <c r="I69" s="109">
        <f>'Prior Year Amortization'!F39</f>
        <v>-917.92000000003463</v>
      </c>
    </row>
    <row r="70" spans="1:11" x14ac:dyDescent="0.25">
      <c r="A70" s="80">
        <v>22</v>
      </c>
      <c r="B70" s="40" t="s">
        <v>158</v>
      </c>
      <c r="C70" s="109">
        <f>D65</f>
        <v>-2210.8515841503395</v>
      </c>
      <c r="G70" s="125">
        <f t="shared" si="8"/>
        <v>22</v>
      </c>
      <c r="H70" s="40" t="str">
        <f>B70</f>
        <v>Add Interest through 10/31/2022</v>
      </c>
      <c r="I70" s="109">
        <f>J65</f>
        <v>-963.84696339509219</v>
      </c>
    </row>
    <row r="71" spans="1:11" x14ac:dyDescent="0.25">
      <c r="A71" s="80">
        <v>23</v>
      </c>
      <c r="B71" s="40" t="s">
        <v>68</v>
      </c>
      <c r="C71" s="109">
        <f>(D30-D31)*E22-C63</f>
        <v>-1535.9264497947956</v>
      </c>
      <c r="G71" s="125">
        <f t="shared" si="8"/>
        <v>23</v>
      </c>
      <c r="H71" s="40" t="s">
        <v>68</v>
      </c>
      <c r="I71" s="109">
        <f>(J30-J31)*K22-I63</f>
        <v>-603.55948437648635</v>
      </c>
    </row>
    <row r="72" spans="1:11" x14ac:dyDescent="0.25">
      <c r="A72" s="80">
        <v>24</v>
      </c>
      <c r="B72" s="40" t="s">
        <v>67</v>
      </c>
      <c r="C72" s="110">
        <f>SUM(C68:C71)</f>
        <v>-334865.63803394511</v>
      </c>
      <c r="G72" s="125">
        <f t="shared" si="8"/>
        <v>24</v>
      </c>
      <c r="H72" s="40" t="s">
        <v>67</v>
      </c>
      <c r="I72" s="110">
        <f>SUM(I68:I71)</f>
        <v>-132915.99644777161</v>
      </c>
    </row>
    <row r="73" spans="1:11" x14ac:dyDescent="0.25">
      <c r="A73" s="80">
        <v>25</v>
      </c>
      <c r="B73" s="40" t="str">
        <f>IF(C73&gt;0,"Customer Surcharge Revenue","Customer Rebate Revenue")</f>
        <v>Customer Rebate Revenue</v>
      </c>
      <c r="C73" s="109">
        <f>D30*E22</f>
        <v>-334865.638033945</v>
      </c>
      <c r="G73" s="125">
        <f t="shared" si="8"/>
        <v>25</v>
      </c>
      <c r="H73" s="40" t="str">
        <f>IF(I73&gt;0,"Customer Surcharge Revenue","Customer Rebate Revenue")</f>
        <v>Customer Rebate Revenue</v>
      </c>
      <c r="I73" s="109">
        <f>J30*K22</f>
        <v>-132915.99644777155</v>
      </c>
    </row>
    <row r="74" spans="1:11" x14ac:dyDescent="0.25">
      <c r="A74" s="80">
        <v>26</v>
      </c>
      <c r="B74" s="40" t="s">
        <v>59</v>
      </c>
      <c r="C74" s="109">
        <f>C72-C73</f>
        <v>0</v>
      </c>
      <c r="G74" s="125">
        <f t="shared" si="8"/>
        <v>26</v>
      </c>
      <c r="H74" s="40" t="s">
        <v>59</v>
      </c>
      <c r="I74" s="109">
        <f>I72-I73</f>
        <v>0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printOptions horizontalCentered="1"/>
  <pageMargins left="0.7" right="0.7" top="0.75" bottom="0.6" header="0.3" footer="0.5"/>
  <pageSetup scale="88" orientation="portrait" r:id="rId3"/>
  <headerFooter scaleWithDoc="0">
    <oddFooter>&amp;LExhibit B&amp;CPage &amp;P of 8&amp;R&amp;A</oddFooter>
  </headerFooter>
  <rowBreaks count="1" manualBreakCount="1">
    <brk id="41" max="11" man="1"/>
  </rowBreaks>
  <colBreaks count="1" manualBreakCount="1">
    <brk id="6" max="88" man="1"/>
  </col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K39"/>
  <sheetViews>
    <sheetView topLeftCell="A13" zoomScaleNormal="100" workbookViewId="0">
      <selection activeCell="E27" sqref="E27"/>
    </sheetView>
  </sheetViews>
  <sheetFormatPr defaultColWidth="8.7109375" defaultRowHeight="15" x14ac:dyDescent="0.25"/>
  <cols>
    <col min="1" max="1" width="8.28515625" style="40" bestFit="1" customWidth="1"/>
    <col min="2" max="2" width="7.42578125" style="40" bestFit="1" customWidth="1"/>
    <col min="3" max="3" width="16" style="40" customWidth="1"/>
    <col min="4" max="4" width="10.5703125" style="40" bestFit="1" customWidth="1"/>
    <col min="5" max="5" width="13.42578125" style="40" bestFit="1" customWidth="1"/>
    <col min="6" max="6" width="13.28515625" style="40" customWidth="1"/>
    <col min="7" max="7" width="8" style="40" bestFit="1" customWidth="1"/>
    <col min="8" max="8" width="13.7109375" style="40" customWidth="1"/>
    <col min="9" max="16384" width="8.7109375" style="40"/>
  </cols>
  <sheetData>
    <row r="1" spans="1:11" x14ac:dyDescent="0.25">
      <c r="B1" s="135" t="s">
        <v>0</v>
      </c>
      <c r="C1" s="135"/>
      <c r="D1" s="135"/>
      <c r="E1" s="135"/>
      <c r="F1" s="135"/>
      <c r="G1" s="135"/>
      <c r="H1" s="135"/>
    </row>
    <row r="2" spans="1:11" x14ac:dyDescent="0.25">
      <c r="B2" s="135" t="s">
        <v>134</v>
      </c>
      <c r="C2" s="135"/>
      <c r="D2" s="135"/>
      <c r="E2" s="135"/>
      <c r="F2" s="135"/>
      <c r="G2" s="135"/>
      <c r="H2" s="135"/>
    </row>
    <row r="3" spans="1:11" x14ac:dyDescent="0.25">
      <c r="B3" s="135" t="s">
        <v>136</v>
      </c>
      <c r="C3" s="135"/>
      <c r="D3" s="135"/>
      <c r="E3" s="135"/>
      <c r="F3" s="135"/>
      <c r="G3" s="135"/>
      <c r="H3" s="135"/>
    </row>
    <row r="5" spans="1:11" x14ac:dyDescent="0.25">
      <c r="B5" s="143" t="str">
        <f>"Residential Natural Gas "&amp;IF(C9&gt;0,"Surcharge","Rebate")</f>
        <v>Residential Natural Gas Rebate</v>
      </c>
      <c r="C5" s="143"/>
      <c r="D5" s="143"/>
      <c r="E5" s="143"/>
      <c r="F5" s="143"/>
      <c r="G5" s="143"/>
      <c r="H5" s="143"/>
      <c r="I5" s="108"/>
      <c r="J5" s="108"/>
      <c r="K5" s="108"/>
    </row>
    <row r="7" spans="1:11" ht="60" x14ac:dyDescent="0.25">
      <c r="A7" s="111" t="s">
        <v>57</v>
      </c>
      <c r="B7" s="80" t="s">
        <v>1</v>
      </c>
      <c r="C7" s="95" t="str">
        <f>"Regulatory "&amp;IF(C9&gt;0,"Asset ","Liability ")&amp;"Beginning Balance"</f>
        <v>Regulatory Liability Beginning Balance</v>
      </c>
      <c r="D7" s="80" t="s">
        <v>88</v>
      </c>
      <c r="E7" s="80" t="s">
        <v>44</v>
      </c>
      <c r="F7" s="95" t="str">
        <f>C7</f>
        <v>Regulatory Liability Beginning Balance</v>
      </c>
      <c r="G7" s="95" t="s">
        <v>89</v>
      </c>
      <c r="H7" s="95" t="s">
        <v>149</v>
      </c>
    </row>
    <row r="9" spans="1:11" x14ac:dyDescent="0.25">
      <c r="A9" s="80">
        <v>1</v>
      </c>
      <c r="B9" s="112">
        <v>44136</v>
      </c>
      <c r="C9" s="124">
        <f>-525846.37+15767.54</f>
        <v>-510078.83</v>
      </c>
      <c r="D9" s="113">
        <f>ROUND(((C9+C9+E9)/2)*G9/12,2)</f>
        <v>-791.84</v>
      </c>
      <c r="E9" s="53">
        <v>69948.44</v>
      </c>
      <c r="F9" s="74">
        <f>C9+D9+E9</f>
        <v>-440922.23000000004</v>
      </c>
      <c r="G9" s="123">
        <v>0.02</v>
      </c>
    </row>
    <row r="10" spans="1:11" x14ac:dyDescent="0.25">
      <c r="A10" s="80">
        <v>2</v>
      </c>
      <c r="B10" s="112">
        <v>44166</v>
      </c>
      <c r="C10" s="53">
        <f>F9</f>
        <v>-440922.23000000004</v>
      </c>
      <c r="D10" s="113">
        <f t="shared" ref="D10:D20" si="0">ROUND(((C10+C10+E10)/2)*G10/12,2)</f>
        <v>-669.07</v>
      </c>
      <c r="E10" s="53">
        <v>78960.179999999993</v>
      </c>
      <c r="F10" s="74">
        <f t="shared" ref="F10:F20" si="1">C10+D10+E10</f>
        <v>-362631.12000000005</v>
      </c>
      <c r="G10" s="114">
        <f>G9</f>
        <v>0.02</v>
      </c>
    </row>
    <row r="11" spans="1:11" x14ac:dyDescent="0.25">
      <c r="A11" s="80">
        <v>3</v>
      </c>
      <c r="B11" s="112">
        <v>44197</v>
      </c>
      <c r="C11" s="53">
        <f t="shared" ref="C11:C19" si="2">F10</f>
        <v>-362631.12000000005</v>
      </c>
      <c r="D11" s="113">
        <f t="shared" si="0"/>
        <v>-268.18</v>
      </c>
      <c r="E11" s="53">
        <v>81624.37</v>
      </c>
      <c r="F11" s="74">
        <f t="shared" si="1"/>
        <v>-281274.93000000005</v>
      </c>
      <c r="G11" s="114">
        <v>0.01</v>
      </c>
    </row>
    <row r="12" spans="1:11" x14ac:dyDescent="0.25">
      <c r="A12" s="80">
        <v>4</v>
      </c>
      <c r="B12" s="112">
        <v>44228</v>
      </c>
      <c r="C12" s="53">
        <f t="shared" si="2"/>
        <v>-281274.93000000005</v>
      </c>
      <c r="D12" s="113">
        <f t="shared" si="0"/>
        <v>-199.14</v>
      </c>
      <c r="E12" s="53">
        <v>84620.76</v>
      </c>
      <c r="F12" s="74">
        <f t="shared" si="1"/>
        <v>-196853.31000000006</v>
      </c>
      <c r="G12" s="114">
        <f t="shared" ref="G12:G20" si="3">G11</f>
        <v>0.01</v>
      </c>
    </row>
    <row r="13" spans="1:11" x14ac:dyDescent="0.25">
      <c r="A13" s="80">
        <v>5</v>
      </c>
      <c r="B13" s="112">
        <v>44256</v>
      </c>
      <c r="C13" s="53">
        <f t="shared" si="2"/>
        <v>-196853.31000000006</v>
      </c>
      <c r="D13" s="113">
        <f t="shared" si="0"/>
        <v>-140.84</v>
      </c>
      <c r="E13" s="53">
        <v>55688.23</v>
      </c>
      <c r="F13" s="74">
        <f>C13+D13+E13</f>
        <v>-141305.92000000004</v>
      </c>
      <c r="G13" s="114">
        <f t="shared" si="3"/>
        <v>0.01</v>
      </c>
    </row>
    <row r="14" spans="1:11" x14ac:dyDescent="0.25">
      <c r="A14" s="80">
        <v>6</v>
      </c>
      <c r="B14" s="112">
        <v>44287</v>
      </c>
      <c r="C14" s="53">
        <f t="shared" si="2"/>
        <v>-141305.92000000004</v>
      </c>
      <c r="D14" s="113">
        <f t="shared" si="0"/>
        <v>-102.36</v>
      </c>
      <c r="E14" s="53">
        <v>36945.550000000003</v>
      </c>
      <c r="F14" s="74">
        <f t="shared" si="1"/>
        <v>-104462.73000000003</v>
      </c>
      <c r="G14" s="114">
        <f t="shared" si="3"/>
        <v>0.01</v>
      </c>
    </row>
    <row r="15" spans="1:11" x14ac:dyDescent="0.25">
      <c r="A15" s="80">
        <v>7</v>
      </c>
      <c r="B15" s="112">
        <v>44317</v>
      </c>
      <c r="C15" s="53">
        <f>F14</f>
        <v>-104462.73000000003</v>
      </c>
      <c r="D15" s="113">
        <f t="shared" si="0"/>
        <v>-78.89</v>
      </c>
      <c r="E15" s="53">
        <v>19587.87</v>
      </c>
      <c r="F15" s="74">
        <f t="shared" si="1"/>
        <v>-84953.750000000029</v>
      </c>
      <c r="G15" s="114">
        <f t="shared" si="3"/>
        <v>0.01</v>
      </c>
    </row>
    <row r="16" spans="1:11" x14ac:dyDescent="0.25">
      <c r="A16" s="80">
        <v>8</v>
      </c>
      <c r="B16" s="112">
        <v>44348</v>
      </c>
      <c r="C16" s="53">
        <f t="shared" si="2"/>
        <v>-84953.750000000029</v>
      </c>
      <c r="D16" s="113">
        <f t="shared" si="0"/>
        <v>-65.92</v>
      </c>
      <c r="E16" s="53">
        <v>11705.45</v>
      </c>
      <c r="F16" s="74">
        <f t="shared" si="1"/>
        <v>-73314.22000000003</v>
      </c>
      <c r="G16" s="114">
        <f t="shared" si="3"/>
        <v>0.01</v>
      </c>
      <c r="H16" s="43"/>
    </row>
    <row r="17" spans="1:8" x14ac:dyDescent="0.25">
      <c r="A17" s="80">
        <v>9</v>
      </c>
      <c r="B17" s="112">
        <v>44378</v>
      </c>
      <c r="C17" s="53">
        <f>F16</f>
        <v>-73314.22000000003</v>
      </c>
      <c r="D17" s="113">
        <f t="shared" si="0"/>
        <v>-56.79</v>
      </c>
      <c r="E17" s="53">
        <f>-ROUND(H17*-0.00778,2)</f>
        <v>10330.700000000001</v>
      </c>
      <c r="F17" s="74">
        <f t="shared" si="1"/>
        <v>-63040.310000000027</v>
      </c>
      <c r="G17" s="114">
        <f t="shared" si="3"/>
        <v>0.01</v>
      </c>
      <c r="H17" s="43">
        <f>'Forecast Usage by Sched'!J6</f>
        <v>1327853.2883690116</v>
      </c>
    </row>
    <row r="18" spans="1:8" x14ac:dyDescent="0.25">
      <c r="A18" s="80">
        <v>10</v>
      </c>
      <c r="B18" s="112">
        <v>44409</v>
      </c>
      <c r="C18" s="53">
        <f>F17</f>
        <v>-63040.310000000027</v>
      </c>
      <c r="D18" s="113">
        <f t="shared" si="0"/>
        <v>-49.27</v>
      </c>
      <c r="E18" s="53">
        <f>-ROUND(H18*-0.00778,2)</f>
        <v>7822.77</v>
      </c>
      <c r="F18" s="74">
        <f t="shared" si="1"/>
        <v>-55266.810000000027</v>
      </c>
      <c r="G18" s="114">
        <f t="shared" si="3"/>
        <v>0.01</v>
      </c>
      <c r="H18" s="43">
        <f>'Forecast Usage by Sched'!J7</f>
        <v>1005497.9655847928</v>
      </c>
    </row>
    <row r="19" spans="1:8" x14ac:dyDescent="0.25">
      <c r="A19" s="80">
        <v>11</v>
      </c>
      <c r="B19" s="112">
        <v>44440</v>
      </c>
      <c r="C19" s="53">
        <f t="shared" si="2"/>
        <v>-55266.810000000027</v>
      </c>
      <c r="D19" s="113">
        <f t="shared" si="0"/>
        <v>-40.729999999999997</v>
      </c>
      <c r="E19" s="53">
        <f>-ROUND(H19*-0.00778,2)</f>
        <v>12787.2</v>
      </c>
      <c r="F19" s="74">
        <f t="shared" si="1"/>
        <v>-42520.340000000026</v>
      </c>
      <c r="G19" s="114">
        <f t="shared" si="3"/>
        <v>0.01</v>
      </c>
      <c r="H19" s="43">
        <f>'Forecast Usage by Sched'!J8</f>
        <v>1643598.5261205202</v>
      </c>
    </row>
    <row r="20" spans="1:8" x14ac:dyDescent="0.25">
      <c r="A20" s="80">
        <v>12</v>
      </c>
      <c r="B20" s="112">
        <v>44470</v>
      </c>
      <c r="C20" s="53">
        <f>F19</f>
        <v>-42520.340000000026</v>
      </c>
      <c r="D20" s="113">
        <f t="shared" si="0"/>
        <v>-20.48</v>
      </c>
      <c r="E20" s="53">
        <f>-ROUND(H20*-0.00778,2)</f>
        <v>35877.620000000003</v>
      </c>
      <c r="F20" s="115">
        <f t="shared" si="1"/>
        <v>-6663.2000000000262</v>
      </c>
      <c r="G20" s="114">
        <f t="shared" si="3"/>
        <v>0.01</v>
      </c>
      <c r="H20" s="43">
        <f>'Forecast Usage by Sched'!J9</f>
        <v>4611519.5085172998</v>
      </c>
    </row>
    <row r="24" spans="1:8" x14ac:dyDescent="0.25">
      <c r="B24" s="143" t="str">
        <f>"Non-Residential Natural Gas "&amp;IF(C28&gt;0,"Surcharge","Rebate")</f>
        <v>Non-Residential Natural Gas Rebate</v>
      </c>
      <c r="C24" s="143"/>
      <c r="D24" s="143"/>
      <c r="E24" s="143"/>
      <c r="F24" s="143"/>
      <c r="G24" s="143"/>
      <c r="H24" s="143"/>
    </row>
    <row r="26" spans="1:8" ht="60" x14ac:dyDescent="0.25">
      <c r="A26" s="111" t="s">
        <v>57</v>
      </c>
      <c r="B26" s="80" t="s">
        <v>1</v>
      </c>
      <c r="C26" s="95" t="str">
        <f>"Regulatory "&amp;IF(C28&gt;0,"Asset ","Liability ")&amp;"Beginning Balance"</f>
        <v>Regulatory Liability Beginning Balance</v>
      </c>
      <c r="D26" s="80" t="s">
        <v>88</v>
      </c>
      <c r="E26" s="80" t="s">
        <v>44</v>
      </c>
      <c r="F26" s="95" t="str">
        <f>C26</f>
        <v>Regulatory Liability Beginning Balance</v>
      </c>
      <c r="G26" s="95" t="s">
        <v>89</v>
      </c>
      <c r="H26" s="95" t="s">
        <v>149</v>
      </c>
    </row>
    <row r="28" spans="1:8" x14ac:dyDescent="0.25">
      <c r="A28" s="80">
        <v>13</v>
      </c>
      <c r="B28" s="112">
        <f>B9</f>
        <v>44136</v>
      </c>
      <c r="C28" s="124">
        <f>-178253.7+4239.34</f>
        <v>-174014.36000000002</v>
      </c>
      <c r="D28" s="113">
        <f>ROUND(((C28+C28+E28)/2)*G28/12,2)</f>
        <v>-276.43</v>
      </c>
      <c r="E28" s="53">
        <v>16306.83</v>
      </c>
      <c r="F28" s="74">
        <f>C28+D28+E28</f>
        <v>-157983.96000000002</v>
      </c>
      <c r="G28" s="123">
        <v>0.02</v>
      </c>
    </row>
    <row r="29" spans="1:8" x14ac:dyDescent="0.25">
      <c r="A29" s="80">
        <v>14</v>
      </c>
      <c r="B29" s="112">
        <f t="shared" ref="B29:B39" si="4">B10</f>
        <v>44166</v>
      </c>
      <c r="C29" s="53">
        <f>F28</f>
        <v>-157983.96000000002</v>
      </c>
      <c r="D29" s="113">
        <f t="shared" ref="D29:D39" si="5">ROUND(((C29+C29+E29)/2)*G29/12,2)</f>
        <v>-245.32</v>
      </c>
      <c r="E29" s="53">
        <v>21580.240000000002</v>
      </c>
      <c r="F29" s="74">
        <f t="shared" ref="F29:F39" si="6">C29+D29+E29</f>
        <v>-136649.04000000004</v>
      </c>
      <c r="G29" s="114">
        <f>G28</f>
        <v>0.02</v>
      </c>
    </row>
    <row r="30" spans="1:8" x14ac:dyDescent="0.25">
      <c r="A30" s="80">
        <v>15</v>
      </c>
      <c r="B30" s="112">
        <f t="shared" si="4"/>
        <v>44197</v>
      </c>
      <c r="C30" s="53">
        <f t="shared" ref="C30:C39" si="7">F29</f>
        <v>-136649.04000000004</v>
      </c>
      <c r="D30" s="113">
        <f t="shared" si="5"/>
        <v>-105.05</v>
      </c>
      <c r="E30" s="53">
        <v>21174.84</v>
      </c>
      <c r="F30" s="74">
        <f t="shared" si="6"/>
        <v>-115579.25000000003</v>
      </c>
      <c r="G30" s="114">
        <v>0.01</v>
      </c>
    </row>
    <row r="31" spans="1:8" x14ac:dyDescent="0.25">
      <c r="A31" s="80">
        <v>16</v>
      </c>
      <c r="B31" s="112">
        <f t="shared" si="4"/>
        <v>44228</v>
      </c>
      <c r="C31" s="53">
        <f t="shared" si="7"/>
        <v>-115579.25000000003</v>
      </c>
      <c r="D31" s="113">
        <f t="shared" si="5"/>
        <v>-86.84</v>
      </c>
      <c r="E31" s="53">
        <v>22748.23</v>
      </c>
      <c r="F31" s="74">
        <f t="shared" si="6"/>
        <v>-92917.86000000003</v>
      </c>
      <c r="G31" s="114">
        <f t="shared" ref="G31:G39" si="8">G30</f>
        <v>0.01</v>
      </c>
    </row>
    <row r="32" spans="1:8" x14ac:dyDescent="0.25">
      <c r="A32" s="80">
        <v>17</v>
      </c>
      <c r="B32" s="112">
        <f t="shared" si="4"/>
        <v>44256</v>
      </c>
      <c r="C32" s="53">
        <f t="shared" si="7"/>
        <v>-92917.86000000003</v>
      </c>
      <c r="D32" s="113">
        <f t="shared" si="5"/>
        <v>-69.34</v>
      </c>
      <c r="E32" s="53">
        <v>19411.54</v>
      </c>
      <c r="F32" s="74">
        <f t="shared" si="6"/>
        <v>-73575.660000000033</v>
      </c>
      <c r="G32" s="114">
        <f t="shared" si="8"/>
        <v>0.01</v>
      </c>
    </row>
    <row r="33" spans="1:8" x14ac:dyDescent="0.25">
      <c r="A33" s="80">
        <v>18</v>
      </c>
      <c r="B33" s="112">
        <f t="shared" si="4"/>
        <v>44287</v>
      </c>
      <c r="C33" s="53">
        <f t="shared" si="7"/>
        <v>-73575.660000000033</v>
      </c>
      <c r="D33" s="113">
        <f t="shared" si="5"/>
        <v>-56.09</v>
      </c>
      <c r="E33" s="53">
        <v>12538.93</v>
      </c>
      <c r="F33" s="74">
        <f t="shared" si="6"/>
        <v>-61092.820000000029</v>
      </c>
      <c r="G33" s="114">
        <f t="shared" si="8"/>
        <v>0.01</v>
      </c>
    </row>
    <row r="34" spans="1:8" x14ac:dyDescent="0.25">
      <c r="A34" s="80">
        <v>19</v>
      </c>
      <c r="B34" s="112">
        <f t="shared" si="4"/>
        <v>44317</v>
      </c>
      <c r="C34" s="53">
        <f t="shared" si="7"/>
        <v>-61092.820000000029</v>
      </c>
      <c r="D34" s="113">
        <f t="shared" si="5"/>
        <v>-46.55</v>
      </c>
      <c r="E34" s="53">
        <v>10469.129999999999</v>
      </c>
      <c r="F34" s="74">
        <f t="shared" si="6"/>
        <v>-50670.240000000034</v>
      </c>
      <c r="G34" s="114">
        <f t="shared" si="8"/>
        <v>0.01</v>
      </c>
    </row>
    <row r="35" spans="1:8" x14ac:dyDescent="0.25">
      <c r="A35" s="80">
        <v>20</v>
      </c>
      <c r="B35" s="112">
        <f t="shared" si="4"/>
        <v>44348</v>
      </c>
      <c r="C35" s="53">
        <f t="shared" si="7"/>
        <v>-50670.240000000034</v>
      </c>
      <c r="D35" s="113">
        <f t="shared" si="5"/>
        <v>-38.950000000000003</v>
      </c>
      <c r="E35" s="53">
        <v>7855.06</v>
      </c>
      <c r="F35" s="74">
        <f t="shared" si="6"/>
        <v>-42854.130000000034</v>
      </c>
      <c r="G35" s="114">
        <f t="shared" si="8"/>
        <v>0.01</v>
      </c>
      <c r="H35" s="43"/>
    </row>
    <row r="36" spans="1:8" x14ac:dyDescent="0.25">
      <c r="A36" s="80">
        <v>21</v>
      </c>
      <c r="B36" s="112">
        <f t="shared" si="4"/>
        <v>44378</v>
      </c>
      <c r="C36" s="53">
        <f t="shared" si="7"/>
        <v>-42854.130000000034</v>
      </c>
      <c r="D36" s="113">
        <f t="shared" si="5"/>
        <v>-32.82</v>
      </c>
      <c r="E36" s="53">
        <f>-ROUND(H36*-0.00683,2)</f>
        <v>6936.14</v>
      </c>
      <c r="F36" s="74">
        <f t="shared" si="6"/>
        <v>-35950.810000000034</v>
      </c>
      <c r="G36" s="114">
        <f t="shared" si="8"/>
        <v>0.01</v>
      </c>
      <c r="H36" s="43">
        <f>'Forecast Usage by Sched'!K6</f>
        <v>1015539.9463882807</v>
      </c>
    </row>
    <row r="37" spans="1:8" x14ac:dyDescent="0.25">
      <c r="A37" s="80">
        <v>22</v>
      </c>
      <c r="B37" s="112">
        <f t="shared" si="4"/>
        <v>44409</v>
      </c>
      <c r="C37" s="53">
        <f t="shared" si="7"/>
        <v>-35950.810000000034</v>
      </c>
      <c r="D37" s="113">
        <f t="shared" si="5"/>
        <v>-26.69</v>
      </c>
      <c r="E37" s="53">
        <f>-ROUND(H37*-0.00683,2)</f>
        <v>7835.91</v>
      </c>
      <c r="F37" s="74">
        <f t="shared" si="6"/>
        <v>-28141.590000000037</v>
      </c>
      <c r="G37" s="114">
        <f t="shared" si="8"/>
        <v>0.01</v>
      </c>
      <c r="H37" s="43">
        <f>'Forecast Usage by Sched'!K7</f>
        <v>1147278.3250184369</v>
      </c>
    </row>
    <row r="38" spans="1:8" x14ac:dyDescent="0.25">
      <c r="A38" s="80">
        <v>23</v>
      </c>
      <c r="B38" s="112">
        <f t="shared" si="4"/>
        <v>44440</v>
      </c>
      <c r="C38" s="53">
        <f t="shared" si="7"/>
        <v>-28141.590000000037</v>
      </c>
      <c r="D38" s="113">
        <f t="shared" si="5"/>
        <v>-19.39</v>
      </c>
      <c r="E38" s="53">
        <f>-ROUND(H38*-0.00683,2)</f>
        <v>9737.3799999999992</v>
      </c>
      <c r="F38" s="74">
        <f t="shared" si="6"/>
        <v>-18423.600000000035</v>
      </c>
      <c r="G38" s="114">
        <f t="shared" si="8"/>
        <v>0.01</v>
      </c>
      <c r="H38" s="43">
        <f>'Forecast Usage by Sched'!K8</f>
        <v>1425677.9435432833</v>
      </c>
    </row>
    <row r="39" spans="1:8" x14ac:dyDescent="0.25">
      <c r="A39" s="80">
        <v>24</v>
      </c>
      <c r="B39" s="112">
        <f t="shared" si="4"/>
        <v>44470</v>
      </c>
      <c r="C39" s="53">
        <f t="shared" si="7"/>
        <v>-18423.600000000035</v>
      </c>
      <c r="D39" s="113">
        <f t="shared" si="5"/>
        <v>-8.06</v>
      </c>
      <c r="E39" s="53">
        <f>-ROUND(H39*-0.00683,2)</f>
        <v>17513.740000000002</v>
      </c>
      <c r="F39" s="115">
        <f t="shared" si="6"/>
        <v>-917.92000000003463</v>
      </c>
      <c r="G39" s="114">
        <f t="shared" si="8"/>
        <v>0.01</v>
      </c>
      <c r="H39" s="43">
        <f>'Forecast Usage by Sched'!K9</f>
        <v>2564237.8504652488</v>
      </c>
    </row>
  </sheetData>
  <mergeCells count="5">
    <mergeCell ref="B1:H1"/>
    <mergeCell ref="B2:H2"/>
    <mergeCell ref="B3:H3"/>
    <mergeCell ref="B5:H5"/>
    <mergeCell ref="B24:H24"/>
  </mergeCells>
  <pageMargins left="0.7" right="0.7" top="0.75" bottom="0.75" header="0.3" footer="0.3"/>
  <pageSetup scale="98" orientation="portrait" r:id="rId1"/>
  <headerFooter scaleWithDoc="0">
    <oddFooter>&amp;LExhibit B&amp;CPage 5 of 8&amp;R&amp;A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34"/>
  <sheetViews>
    <sheetView topLeftCell="A16" zoomScaleNormal="100" workbookViewId="0">
      <selection activeCell="E27" sqref="E27"/>
    </sheetView>
  </sheetViews>
  <sheetFormatPr defaultRowHeight="15" x14ac:dyDescent="0.25"/>
  <cols>
    <col min="1" max="1" width="7.42578125" style="44" customWidth="1"/>
    <col min="2" max="2" width="30.42578125" customWidth="1"/>
    <col min="4" max="5" width="15.42578125" customWidth="1"/>
    <col min="6" max="6" width="13.7109375" customWidth="1"/>
    <col min="7" max="7" width="10.140625" customWidth="1"/>
    <col min="8" max="8" width="20.42578125" customWidth="1"/>
    <col min="9" max="9" width="17.140625" customWidth="1"/>
    <col min="10" max="10" width="16.28515625" customWidth="1"/>
    <col min="11" max="11" width="14" customWidth="1"/>
    <col min="12" max="12" width="15" customWidth="1"/>
    <col min="13" max="13" width="4.5703125" customWidth="1"/>
    <col min="14" max="14" width="25.28515625" customWidth="1"/>
    <col min="15" max="15" width="16.7109375" customWidth="1"/>
    <col min="16" max="16" width="17" customWidth="1"/>
    <col min="17" max="17" width="12.42578125" customWidth="1"/>
    <col min="18" max="18" width="13.5703125" customWidth="1"/>
  </cols>
  <sheetData>
    <row r="1" spans="1:9" x14ac:dyDescent="0.25">
      <c r="B1" s="146" t="s">
        <v>0</v>
      </c>
      <c r="C1" s="146"/>
      <c r="D1" s="146"/>
      <c r="E1" s="146"/>
      <c r="F1" s="146"/>
    </row>
    <row r="2" spans="1:9" x14ac:dyDescent="0.25">
      <c r="B2" s="146" t="s">
        <v>85</v>
      </c>
      <c r="C2" s="146"/>
      <c r="D2" s="146"/>
      <c r="E2" s="146"/>
      <c r="F2" s="146"/>
    </row>
    <row r="3" spans="1:9" x14ac:dyDescent="0.25">
      <c r="B3" s="146" t="s">
        <v>147</v>
      </c>
      <c r="C3" s="146"/>
      <c r="D3" s="146"/>
      <c r="E3" s="146"/>
      <c r="F3" s="146"/>
    </row>
    <row r="4" spans="1:9" s="45" customFormat="1" x14ac:dyDescent="0.25">
      <c r="A4" s="47"/>
      <c r="B4" s="47"/>
      <c r="C4" s="47"/>
      <c r="D4" s="47"/>
      <c r="E4" s="47"/>
      <c r="F4" s="47"/>
    </row>
    <row r="5" spans="1:9" s="45" customFormat="1" x14ac:dyDescent="0.25">
      <c r="A5" s="47" t="s">
        <v>57</v>
      </c>
      <c r="B5" s="47"/>
      <c r="C5" s="47"/>
      <c r="D5" s="47"/>
      <c r="E5" s="47"/>
      <c r="F5" s="47"/>
    </row>
    <row r="6" spans="1:9" x14ac:dyDescent="0.25">
      <c r="D6" s="49" t="s">
        <v>74</v>
      </c>
      <c r="E6" s="49" t="s">
        <v>75</v>
      </c>
      <c r="F6" s="49" t="s">
        <v>76</v>
      </c>
    </row>
    <row r="7" spans="1:9" ht="28.15" customHeight="1" x14ac:dyDescent="0.25">
      <c r="A7" s="44">
        <v>1</v>
      </c>
      <c r="B7" s="147" t="s">
        <v>152</v>
      </c>
      <c r="C7" s="147"/>
      <c r="D7" s="50">
        <f>'Bill Impact'!L11</f>
        <v>53303547.431269474</v>
      </c>
      <c r="E7" s="50">
        <f>'Bill Impact'!L19</f>
        <v>12355490.889717244</v>
      </c>
      <c r="F7" s="50">
        <f>D7+E7</f>
        <v>65659038.320986718</v>
      </c>
    </row>
    <row r="9" spans="1:9" ht="17.45" customHeight="1" x14ac:dyDescent="0.25">
      <c r="A9" s="44">
        <v>2</v>
      </c>
      <c r="B9" t="s">
        <v>153</v>
      </c>
      <c r="D9" s="43">
        <f>'Nat Gas 2021 Rate Calc'!E22</f>
        <v>67924064.509927988</v>
      </c>
      <c r="E9" s="43">
        <f>'Nat Gas 2021 Rate Calc'!K22</f>
        <v>27125713.560769707</v>
      </c>
    </row>
    <row r="10" spans="1:9" ht="17.45" customHeight="1" x14ac:dyDescent="0.25"/>
    <row r="11" spans="1:9" ht="17.45" customHeight="1" x14ac:dyDescent="0.25">
      <c r="A11" s="44">
        <v>3</v>
      </c>
      <c r="B11" t="s">
        <v>84</v>
      </c>
      <c r="D11" s="34">
        <f>'Nat Gas 2021 Rate Calc'!D28</f>
        <v>-4.9300000000000004E-3</v>
      </c>
      <c r="E11" s="34">
        <f>'Nat Gas 2021 Rate Calc'!J28</f>
        <v>-4.8999999999999998E-3</v>
      </c>
    </row>
    <row r="12" spans="1:9" ht="12.6" customHeight="1" x14ac:dyDescent="0.25">
      <c r="H12" s="89" t="s">
        <v>154</v>
      </c>
      <c r="I12" s="89" t="s">
        <v>154</v>
      </c>
    </row>
    <row r="13" spans="1:9" x14ac:dyDescent="0.25">
      <c r="A13" s="44">
        <v>4</v>
      </c>
      <c r="B13" t="s">
        <v>135</v>
      </c>
      <c r="D13" s="69">
        <v>0</v>
      </c>
      <c r="E13" s="69">
        <v>0</v>
      </c>
      <c r="H13" s="69">
        <v>-7.8300000000000002E-3</v>
      </c>
      <c r="I13" s="69">
        <v>-6.8700000000000002E-3</v>
      </c>
    </row>
    <row r="14" spans="1:9" ht="14.45" customHeight="1" x14ac:dyDescent="0.25"/>
    <row r="15" spans="1:9" x14ac:dyDescent="0.25">
      <c r="A15" s="44">
        <v>5</v>
      </c>
      <c r="B15" t="s">
        <v>83</v>
      </c>
      <c r="D15" s="34">
        <f>D11-D13</f>
        <v>-4.9300000000000004E-3</v>
      </c>
      <c r="E15" s="34">
        <f>E11-E13</f>
        <v>-4.8999999999999998E-3</v>
      </c>
    </row>
    <row r="16" spans="1:9" ht="14.45" customHeight="1" x14ac:dyDescent="0.25"/>
    <row r="17" spans="1:6" x14ac:dyDescent="0.25">
      <c r="A17" s="44">
        <v>6</v>
      </c>
      <c r="B17" t="s">
        <v>82</v>
      </c>
      <c r="D17" s="50">
        <f>D15*D9</f>
        <v>-334865.638033945</v>
      </c>
      <c r="E17" s="50">
        <f>E15*E9</f>
        <v>-132915.99644777155</v>
      </c>
      <c r="F17" s="50">
        <f>D17+E17</f>
        <v>-467781.63448171655</v>
      </c>
    </row>
    <row r="18" spans="1:6" ht="12.6" customHeight="1" x14ac:dyDescent="0.25">
      <c r="D18" s="32"/>
      <c r="E18" s="32"/>
    </row>
    <row r="19" spans="1:6" ht="14.45" customHeight="1" x14ac:dyDescent="0.25">
      <c r="A19" s="44">
        <v>7</v>
      </c>
      <c r="B19" t="s">
        <v>39</v>
      </c>
      <c r="D19" s="35">
        <f>D17/D7</f>
        <v>-6.2822392536955743E-3</v>
      </c>
      <c r="E19" s="35">
        <f>E17/E7</f>
        <v>-1.075764594334247E-2</v>
      </c>
      <c r="F19" s="35"/>
    </row>
    <row r="20" spans="1:6" ht="13.9" customHeight="1" x14ac:dyDescent="0.25"/>
    <row r="21" spans="1:6" ht="13.9" customHeight="1" x14ac:dyDescent="0.25">
      <c r="A21" s="44">
        <v>8</v>
      </c>
      <c r="B21" t="s">
        <v>151</v>
      </c>
      <c r="D21" s="50">
        <f>IF(D19&gt;0.03,D7*0.03-D17,0)</f>
        <v>0</v>
      </c>
      <c r="E21" s="50">
        <f>IF(E19&gt;0.03,E7*0.03-E17,0)</f>
        <v>0</v>
      </c>
      <c r="F21" s="50">
        <f>D21+E21</f>
        <v>0</v>
      </c>
    </row>
    <row r="22" spans="1:6" ht="19.149999999999999" customHeight="1" x14ac:dyDescent="0.25"/>
    <row r="23" spans="1:6" x14ac:dyDescent="0.25">
      <c r="A23" s="44">
        <v>9</v>
      </c>
      <c r="B23" t="s">
        <v>40</v>
      </c>
      <c r="D23" s="34">
        <f>ROUND(D21/D9,5)</f>
        <v>0</v>
      </c>
      <c r="E23" s="34">
        <f>ROUND(E21/E9,5)</f>
        <v>0</v>
      </c>
    </row>
    <row r="24" spans="1:6" ht="15" customHeight="1" x14ac:dyDescent="0.25"/>
    <row r="25" spans="1:6" ht="15" customHeight="1" x14ac:dyDescent="0.25">
      <c r="A25" s="44">
        <v>10</v>
      </c>
      <c r="B25" t="s">
        <v>80</v>
      </c>
      <c r="D25" s="34">
        <f>D11+D23</f>
        <v>-4.9300000000000004E-3</v>
      </c>
      <c r="E25" s="34">
        <f>E11+E23</f>
        <v>-4.8999999999999998E-3</v>
      </c>
    </row>
    <row r="26" spans="1:6" ht="15" customHeight="1" x14ac:dyDescent="0.25"/>
    <row r="27" spans="1:6" x14ac:dyDescent="0.25">
      <c r="A27" s="44">
        <v>11</v>
      </c>
      <c r="B27" t="s">
        <v>81</v>
      </c>
      <c r="D27" s="50">
        <f>D25*D9-D13*D9</f>
        <v>-334865.638033945</v>
      </c>
      <c r="E27" s="50">
        <f>E25*E9-E13*E9</f>
        <v>-132915.99644777155</v>
      </c>
      <c r="F27" s="50">
        <f>D27+E27</f>
        <v>-467781.63448171655</v>
      </c>
    </row>
    <row r="28" spans="1:6" ht="14.45" customHeight="1" x14ac:dyDescent="0.25">
      <c r="D28" s="36"/>
      <c r="E28" s="36"/>
    </row>
    <row r="29" spans="1:6" ht="14.45" customHeight="1" x14ac:dyDescent="0.25">
      <c r="A29" s="44">
        <v>12</v>
      </c>
      <c r="B29" t="s">
        <v>41</v>
      </c>
      <c r="D29" s="35">
        <f>D27/D7</f>
        <v>-6.2822392536955743E-3</v>
      </c>
      <c r="E29" s="35">
        <f>E27/E7</f>
        <v>-1.075764594334247E-2</v>
      </c>
      <c r="F29" s="35"/>
    </row>
    <row r="30" spans="1:6" ht="15" customHeight="1" x14ac:dyDescent="0.25"/>
    <row r="31" spans="1:6" x14ac:dyDescent="0.25">
      <c r="B31" t="s">
        <v>43</v>
      </c>
    </row>
    <row r="32" spans="1:6" s="45" customFormat="1" ht="50.25" customHeight="1" x14ac:dyDescent="0.25">
      <c r="A32" s="47"/>
      <c r="B32" s="148" t="s">
        <v>143</v>
      </c>
      <c r="C32" s="148"/>
      <c r="D32" s="148"/>
      <c r="E32" s="148"/>
      <c r="F32" s="148"/>
    </row>
    <row r="33" spans="2:6" ht="33" customHeight="1" x14ac:dyDescent="0.25">
      <c r="B33" s="145" t="s">
        <v>146</v>
      </c>
      <c r="C33" s="145"/>
      <c r="D33" s="145"/>
      <c r="E33" s="145"/>
      <c r="F33" s="145"/>
    </row>
    <row r="34" spans="2:6" ht="48" customHeight="1" x14ac:dyDescent="0.25">
      <c r="B34" s="144" t="s">
        <v>150</v>
      </c>
      <c r="C34" s="144"/>
      <c r="D34" s="144"/>
      <c r="E34" s="144"/>
      <c r="F34" s="144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7">
    <mergeCell ref="B34:F34"/>
    <mergeCell ref="B33:F33"/>
    <mergeCell ref="B1:F1"/>
    <mergeCell ref="B2:F2"/>
    <mergeCell ref="B3:F3"/>
    <mergeCell ref="B7:C7"/>
    <mergeCell ref="B32:F32"/>
  </mergeCells>
  <printOptions horizontalCentered="1"/>
  <pageMargins left="0.7" right="0.7" top="1" bottom="1" header="0.3" footer="0.5"/>
  <pageSetup scale="95" firstPageNumber="5" orientation="portrait" useFirstPageNumber="1" r:id="rId3"/>
  <headerFooter scaleWithDoc="0">
    <oddFooter>&amp;LExhibit B&amp;CPage 6 of 8&amp;R&amp;A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F117"/>
  <sheetViews>
    <sheetView topLeftCell="A92" zoomScaleNormal="100" workbookViewId="0">
      <selection activeCell="K118" sqref="K118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6" width="12.5703125" customWidth="1"/>
  </cols>
  <sheetData>
    <row r="1" spans="1:5" hidden="1" x14ac:dyDescent="0.25">
      <c r="A1" s="149" t="s">
        <v>11</v>
      </c>
      <c r="B1" s="149"/>
      <c r="C1" s="149"/>
      <c r="D1" s="149"/>
      <c r="E1" s="149"/>
    </row>
    <row r="2" spans="1:5" ht="14.25" hidden="1" customHeight="1" x14ac:dyDescent="0.25">
      <c r="A2" s="1" t="s">
        <v>12</v>
      </c>
      <c r="B2" s="1"/>
      <c r="C2" s="1"/>
      <c r="D2" s="1"/>
      <c r="E2" s="2"/>
    </row>
    <row r="3" spans="1:5" ht="14.25" hidden="1" customHeight="1" x14ac:dyDescent="0.25">
      <c r="A3" s="1" t="s">
        <v>27</v>
      </c>
      <c r="B3" s="1"/>
      <c r="C3" s="1"/>
      <c r="D3" s="1"/>
      <c r="E3" s="2"/>
    </row>
    <row r="4" spans="1:5" ht="14.25" hidden="1" customHeight="1" x14ac:dyDescent="0.25">
      <c r="A4" s="1" t="s">
        <v>13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14</v>
      </c>
      <c r="B6" s="5"/>
      <c r="C6" s="5"/>
      <c r="D6" s="5"/>
      <c r="E6" s="6"/>
    </row>
    <row r="7" spans="1:5" hidden="1" x14ac:dyDescent="0.25">
      <c r="A7" s="7" t="s">
        <v>15</v>
      </c>
      <c r="B7" s="5"/>
      <c r="C7" s="7" t="s">
        <v>16</v>
      </c>
      <c r="D7" s="8"/>
      <c r="E7" s="9" t="s">
        <v>17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18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19</v>
      </c>
      <c r="D11" s="14"/>
      <c r="E11" s="12"/>
    </row>
    <row r="12" spans="1:5" hidden="1" x14ac:dyDescent="0.25">
      <c r="A12" s="10">
        <v>2</v>
      </c>
      <c r="B12" s="3"/>
      <c r="C12" s="14" t="s">
        <v>20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21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22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23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24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25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26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28</v>
      </c>
    </row>
    <row r="27" spans="1:5" hidden="1" x14ac:dyDescent="0.25">
      <c r="C27" t="s">
        <v>29</v>
      </c>
    </row>
    <row r="28" spans="1:5" hidden="1" x14ac:dyDescent="0.25">
      <c r="C28" t="s">
        <v>38</v>
      </c>
      <c r="E28">
        <f>1/E20</f>
        <v>1.0473211096995549</v>
      </c>
    </row>
    <row r="29" spans="1:5" hidden="1" x14ac:dyDescent="0.25"/>
    <row r="30" spans="1:5" hidden="1" x14ac:dyDescent="0.25">
      <c r="A30" s="149" t="s">
        <v>11</v>
      </c>
      <c r="B30" s="149"/>
      <c r="C30" s="149"/>
      <c r="D30" s="149"/>
      <c r="E30" s="149"/>
    </row>
    <row r="31" spans="1:5" ht="14.25" hidden="1" customHeight="1" x14ac:dyDescent="0.25">
      <c r="A31" s="1" t="s">
        <v>12</v>
      </c>
      <c r="B31" s="1"/>
      <c r="C31" s="1"/>
      <c r="D31" s="1"/>
      <c r="E31" s="2"/>
    </row>
    <row r="32" spans="1:5" ht="14.25" hidden="1" customHeight="1" x14ac:dyDescent="0.25">
      <c r="A32" s="1" t="s">
        <v>27</v>
      </c>
      <c r="B32" s="1"/>
      <c r="C32" s="1"/>
      <c r="D32" s="1"/>
      <c r="E32" s="2"/>
    </row>
    <row r="33" spans="1:5" ht="14.25" hidden="1" customHeight="1" x14ac:dyDescent="0.25">
      <c r="A33" s="1" t="s">
        <v>30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14</v>
      </c>
      <c r="B35" s="5"/>
      <c r="C35" s="5"/>
      <c r="D35" s="5"/>
      <c r="E35" s="6"/>
    </row>
    <row r="36" spans="1:5" hidden="1" x14ac:dyDescent="0.25">
      <c r="A36" s="7" t="s">
        <v>15</v>
      </c>
      <c r="B36" s="5"/>
      <c r="C36" s="7" t="s">
        <v>16</v>
      </c>
      <c r="D36" s="8"/>
      <c r="E36" s="9" t="s">
        <v>17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18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19</v>
      </c>
      <c r="D40" s="14"/>
      <c r="E40" s="12"/>
    </row>
    <row r="41" spans="1:5" hidden="1" x14ac:dyDescent="0.25">
      <c r="A41" s="10">
        <v>2</v>
      </c>
      <c r="B41" s="3"/>
      <c r="C41" s="14" t="s">
        <v>20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21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22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31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23</v>
      </c>
      <c r="D49" s="14"/>
      <c r="E49" s="21">
        <f>SUM(E41:E47)</f>
        <v>4.479720416345441E-2</v>
      </c>
      <c r="F49" t="s">
        <v>33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24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25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26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28</v>
      </c>
    </row>
    <row r="58" spans="1:6" hidden="1" x14ac:dyDescent="0.25">
      <c r="C58" t="s">
        <v>32</v>
      </c>
    </row>
    <row r="59" spans="1:6" hidden="1" x14ac:dyDescent="0.25">
      <c r="C59" t="s">
        <v>38</v>
      </c>
      <c r="E59">
        <f>1/E51</f>
        <v>1.0468981082956548</v>
      </c>
    </row>
    <row r="60" spans="1:6" hidden="1" x14ac:dyDescent="0.25"/>
    <row r="61" spans="1:6" ht="14.25" hidden="1" customHeight="1" x14ac:dyDescent="0.25">
      <c r="A61" s="22" t="s">
        <v>12</v>
      </c>
      <c r="B61" s="22"/>
      <c r="C61" s="22"/>
      <c r="D61" s="22"/>
      <c r="E61" s="23"/>
    </row>
    <row r="62" spans="1:6" ht="14.25" hidden="1" customHeight="1" x14ac:dyDescent="0.25">
      <c r="A62" s="1" t="s">
        <v>27</v>
      </c>
      <c r="B62" s="1"/>
      <c r="C62" s="1"/>
      <c r="D62" s="1"/>
      <c r="E62" s="2"/>
    </row>
    <row r="63" spans="1:6" ht="14.25" hidden="1" customHeight="1" x14ac:dyDescent="0.25">
      <c r="A63" s="152" t="s">
        <v>34</v>
      </c>
      <c r="B63" s="152"/>
      <c r="C63" s="152"/>
      <c r="D63" s="152"/>
      <c r="E63" s="152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14</v>
      </c>
      <c r="B65" s="5"/>
      <c r="C65" s="5"/>
      <c r="D65" s="5"/>
      <c r="E65" s="6"/>
    </row>
    <row r="66" spans="1:5" hidden="1" x14ac:dyDescent="0.25">
      <c r="A66" s="7" t="s">
        <v>15</v>
      </c>
      <c r="B66" s="5"/>
      <c r="C66" s="7" t="s">
        <v>16</v>
      </c>
      <c r="D66" s="8"/>
      <c r="E66" s="9" t="s">
        <v>17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18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19</v>
      </c>
      <c r="D70" s="14"/>
      <c r="E70" s="12"/>
    </row>
    <row r="71" spans="1:5" hidden="1" x14ac:dyDescent="0.25">
      <c r="A71" s="10">
        <v>2</v>
      </c>
      <c r="B71" s="3"/>
      <c r="C71" s="14" t="s">
        <v>20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21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22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23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24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25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26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35</v>
      </c>
    </row>
    <row r="86" spans="1:5" hidden="1" x14ac:dyDescent="0.25">
      <c r="C86" t="s">
        <v>32</v>
      </c>
    </row>
    <row r="87" spans="1:5" hidden="1" x14ac:dyDescent="0.25">
      <c r="C87" t="s">
        <v>38</v>
      </c>
      <c r="E87">
        <f>1/E79</f>
        <v>1.0483827445180232</v>
      </c>
    </row>
    <row r="88" spans="1:5" hidden="1" x14ac:dyDescent="0.25"/>
    <row r="89" spans="1:5" x14ac:dyDescent="0.25">
      <c r="A89" s="151" t="s">
        <v>11</v>
      </c>
      <c r="B89" s="151"/>
      <c r="C89" s="151"/>
      <c r="D89" s="151"/>
      <c r="E89" s="151"/>
    </row>
    <row r="90" spans="1:5" x14ac:dyDescent="0.25">
      <c r="A90" s="151" t="s">
        <v>12</v>
      </c>
      <c r="B90" s="151"/>
      <c r="C90" s="151"/>
      <c r="D90" s="151"/>
      <c r="E90" s="151"/>
    </row>
    <row r="91" spans="1:5" x14ac:dyDescent="0.25">
      <c r="A91" s="151" t="s">
        <v>69</v>
      </c>
      <c r="B91" s="151"/>
      <c r="C91" s="151"/>
      <c r="D91" s="151"/>
      <c r="E91" s="151"/>
    </row>
    <row r="92" spans="1:5" x14ac:dyDescent="0.25">
      <c r="A92" s="150" t="s">
        <v>156</v>
      </c>
      <c r="B92" s="150"/>
      <c r="C92" s="150"/>
      <c r="D92" s="150"/>
      <c r="E92" s="150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14</v>
      </c>
      <c r="B94" s="3"/>
      <c r="C94" s="25"/>
      <c r="D94" s="14"/>
      <c r="E94" s="25"/>
    </row>
    <row r="95" spans="1:5" x14ac:dyDescent="0.25">
      <c r="A95" s="26" t="s">
        <v>15</v>
      </c>
      <c r="B95" s="3"/>
      <c r="C95" s="26" t="s">
        <v>16</v>
      </c>
      <c r="D95" s="14"/>
      <c r="E95" s="26" t="s">
        <v>17</v>
      </c>
    </row>
    <row r="96" spans="1:5" x14ac:dyDescent="0.25">
      <c r="A96" s="25"/>
      <c r="B96" s="3"/>
      <c r="C96" s="14"/>
      <c r="D96" s="14"/>
      <c r="E96" s="14"/>
    </row>
    <row r="97" spans="1:6" x14ac:dyDescent="0.25">
      <c r="A97" s="10">
        <v>1</v>
      </c>
      <c r="B97" s="3"/>
      <c r="C97" s="13" t="s">
        <v>18</v>
      </c>
      <c r="D97" s="14"/>
      <c r="E97" s="117">
        <v>1</v>
      </c>
      <c r="F97" s="48">
        <f>E97</f>
        <v>1</v>
      </c>
    </row>
    <row r="98" spans="1:6" x14ac:dyDescent="0.25">
      <c r="A98" s="10"/>
      <c r="B98" s="3"/>
      <c r="C98" s="13"/>
      <c r="D98" s="14"/>
      <c r="E98" s="117"/>
    </row>
    <row r="99" spans="1:6" x14ac:dyDescent="0.25">
      <c r="A99" s="10"/>
      <c r="B99" s="3"/>
      <c r="C99" s="13" t="s">
        <v>19</v>
      </c>
      <c r="D99" s="14"/>
      <c r="E99" s="117"/>
    </row>
    <row r="100" spans="1:6" x14ac:dyDescent="0.25">
      <c r="A100" s="10">
        <v>2</v>
      </c>
      <c r="B100" s="27"/>
      <c r="C100" s="14" t="s">
        <v>36</v>
      </c>
      <c r="D100" s="14"/>
      <c r="E100" s="118">
        <v>2.4009999999999999E-3</v>
      </c>
      <c r="F100" s="48">
        <f>E100</f>
        <v>2.4009999999999999E-3</v>
      </c>
    </row>
    <row r="101" spans="1:6" x14ac:dyDescent="0.25">
      <c r="A101" s="10"/>
      <c r="B101" s="3"/>
      <c r="C101" s="14"/>
      <c r="D101" s="14"/>
      <c r="E101" s="118"/>
    </row>
    <row r="102" spans="1:6" x14ac:dyDescent="0.25">
      <c r="A102" s="10">
        <v>3</v>
      </c>
      <c r="B102" s="3"/>
      <c r="C102" s="14" t="s">
        <v>37</v>
      </c>
      <c r="D102" s="14"/>
      <c r="E102" s="119">
        <v>1.9530000000000001E-3</v>
      </c>
      <c r="F102" s="48">
        <f>E102</f>
        <v>1.9530000000000001E-3</v>
      </c>
    </row>
    <row r="103" spans="1:6" x14ac:dyDescent="0.25">
      <c r="A103" s="10"/>
      <c r="B103" s="3"/>
      <c r="C103" s="14"/>
      <c r="D103" s="14"/>
      <c r="E103" s="118"/>
    </row>
    <row r="104" spans="1:6" x14ac:dyDescent="0.25">
      <c r="A104" s="10">
        <v>4</v>
      </c>
      <c r="B104" s="3"/>
      <c r="C104" s="14" t="s">
        <v>70</v>
      </c>
      <c r="D104" s="14"/>
      <c r="E104" s="118">
        <v>4.6024000000000002E-2</v>
      </c>
    </row>
    <row r="105" spans="1:6" x14ac:dyDescent="0.25">
      <c r="A105" s="10"/>
      <c r="B105" s="3"/>
      <c r="C105" s="14"/>
      <c r="D105" s="14"/>
      <c r="E105" s="28"/>
    </row>
    <row r="106" spans="1:6" x14ac:dyDescent="0.25">
      <c r="A106" s="10">
        <v>5</v>
      </c>
      <c r="B106" s="3"/>
      <c r="C106" s="14" t="s">
        <v>23</v>
      </c>
      <c r="D106" s="14"/>
      <c r="E106" s="29">
        <f>SUM(E100:E105)</f>
        <v>5.0378000000000006E-2</v>
      </c>
      <c r="F106" s="29">
        <f>SUM(F100:F105)</f>
        <v>4.3540000000000002E-3</v>
      </c>
    </row>
    <row r="107" spans="1:6" x14ac:dyDescent="0.25">
      <c r="A107" s="10"/>
      <c r="B107" s="3"/>
      <c r="C107" s="14"/>
      <c r="D107" s="14"/>
      <c r="E107" s="14"/>
      <c r="F107" s="14"/>
    </row>
    <row r="108" spans="1:6" x14ac:dyDescent="0.25">
      <c r="A108" s="10">
        <v>6</v>
      </c>
      <c r="B108" s="3"/>
      <c r="C108" s="14" t="s">
        <v>24</v>
      </c>
      <c r="D108" s="14"/>
      <c r="E108" s="14">
        <f>E97-E106</f>
        <v>0.94962199999999997</v>
      </c>
      <c r="F108" s="13">
        <f>F97-F106</f>
        <v>0.99564600000000003</v>
      </c>
    </row>
    <row r="109" spans="1:6" x14ac:dyDescent="0.25">
      <c r="A109" s="10"/>
      <c r="B109" s="3"/>
      <c r="C109" s="14"/>
      <c r="D109" s="14"/>
      <c r="E109" s="14"/>
      <c r="F109" s="14"/>
    </row>
    <row r="110" spans="1:6" x14ac:dyDescent="0.25">
      <c r="A110" s="10">
        <v>7</v>
      </c>
      <c r="B110" s="3"/>
      <c r="C110" s="14" t="s">
        <v>137</v>
      </c>
      <c r="D110" s="17"/>
      <c r="E110" s="117">
        <v>0.19942099999999999</v>
      </c>
      <c r="F110" s="14"/>
    </row>
    <row r="111" spans="1:6" x14ac:dyDescent="0.25">
      <c r="A111" s="3"/>
      <c r="B111" s="3"/>
      <c r="C111" s="14"/>
      <c r="D111" s="14"/>
      <c r="E111" s="14"/>
      <c r="F111" s="14"/>
    </row>
    <row r="112" spans="1:6" ht="15.75" thickBot="1" x14ac:dyDescent="0.3">
      <c r="A112" s="10">
        <v>8</v>
      </c>
      <c r="B112" s="3"/>
      <c r="C112" s="14" t="s">
        <v>26</v>
      </c>
      <c r="D112" s="14"/>
      <c r="E112" s="30">
        <f>ROUND(E108-E110,6)</f>
        <v>0.75020100000000001</v>
      </c>
      <c r="F112" s="30">
        <f>ROUND(F108-F110,6)</f>
        <v>0.99564600000000003</v>
      </c>
    </row>
    <row r="113" spans="1:6" ht="15.75" thickTop="1" x14ac:dyDescent="0.25">
      <c r="F113" s="45"/>
    </row>
    <row r="114" spans="1:6" x14ac:dyDescent="0.25">
      <c r="C114" s="40"/>
      <c r="F114" s="45"/>
    </row>
    <row r="115" spans="1:6" x14ac:dyDescent="0.25">
      <c r="A115" s="44">
        <v>9</v>
      </c>
      <c r="C115" t="s">
        <v>38</v>
      </c>
      <c r="F115" s="31">
        <f>ROUND(1/F108,6)</f>
        <v>1.004373</v>
      </c>
    </row>
    <row r="117" spans="1:6" x14ac:dyDescent="0.25">
      <c r="A117" s="40" t="s">
        <v>162</v>
      </c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1" bottom="0.75" header="0.3" footer="0.5"/>
  <pageSetup orientation="portrait" r:id="rId3"/>
  <headerFooter scaleWithDoc="0">
    <oddFooter>&amp;LExhibit B&amp;CPage 7 of 8&amp;R&amp;A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B1:M32"/>
  <sheetViews>
    <sheetView zoomScaleNormal="100" workbookViewId="0">
      <selection activeCell="E27" sqref="E27"/>
    </sheetView>
  </sheetViews>
  <sheetFormatPr defaultColWidth="8.85546875" defaultRowHeight="15" x14ac:dyDescent="0.25"/>
  <cols>
    <col min="1" max="1" width="2.140625" style="45" customWidth="1"/>
    <col min="2" max="2" width="21.42578125" style="45" customWidth="1"/>
    <col min="3" max="3" width="10.28515625" style="45" customWidth="1"/>
    <col min="4" max="4" width="13.7109375" style="45" customWidth="1"/>
    <col min="5" max="6" width="11.28515625" style="45" customWidth="1"/>
    <col min="7" max="7" width="12.28515625" style="45" bestFit="1" customWidth="1"/>
    <col min="8" max="8" width="12.7109375" style="45" customWidth="1"/>
    <col min="9" max="10" width="12.28515625" style="45" customWidth="1"/>
    <col min="11" max="11" width="2.5703125" style="45" customWidth="1"/>
    <col min="12" max="12" width="13.28515625" style="45" customWidth="1"/>
    <col min="13" max="13" width="8.140625" style="45" customWidth="1"/>
    <col min="14" max="16384" width="8.85546875" style="45"/>
  </cols>
  <sheetData>
    <row r="1" spans="2:13" x14ac:dyDescent="0.25">
      <c r="B1" s="45" t="s">
        <v>0</v>
      </c>
    </row>
    <row r="2" spans="2:13" x14ac:dyDescent="0.25">
      <c r="B2" s="45" t="s">
        <v>90</v>
      </c>
    </row>
    <row r="3" spans="2:13" x14ac:dyDescent="0.25">
      <c r="B3" s="45" t="s">
        <v>155</v>
      </c>
    </row>
    <row r="4" spans="2:13" x14ac:dyDescent="0.25">
      <c r="B4" s="31" t="s">
        <v>132</v>
      </c>
    </row>
    <row r="6" spans="2:13" x14ac:dyDescent="0.25">
      <c r="D6" s="55" t="s">
        <v>133</v>
      </c>
      <c r="E6" s="55" t="s">
        <v>91</v>
      </c>
      <c r="F6" s="55" t="s">
        <v>92</v>
      </c>
      <c r="G6" s="55" t="s">
        <v>93</v>
      </c>
      <c r="H6" s="55" t="s">
        <v>94</v>
      </c>
      <c r="I6" s="55" t="s">
        <v>94</v>
      </c>
      <c r="J6" s="55" t="s">
        <v>95</v>
      </c>
      <c r="L6" s="55" t="s">
        <v>92</v>
      </c>
    </row>
    <row r="7" spans="2:13" x14ac:dyDescent="0.25">
      <c r="B7" s="56" t="s">
        <v>96</v>
      </c>
      <c r="C7" s="56" t="s">
        <v>97</v>
      </c>
      <c r="D7" s="55" t="s">
        <v>98</v>
      </c>
      <c r="E7" s="88" t="s">
        <v>133</v>
      </c>
      <c r="F7" s="88" t="s">
        <v>133</v>
      </c>
      <c r="G7" s="88" t="s">
        <v>133</v>
      </c>
      <c r="H7" s="88" t="s">
        <v>133</v>
      </c>
      <c r="I7" s="88" t="s">
        <v>133</v>
      </c>
      <c r="J7" s="55" t="s">
        <v>99</v>
      </c>
      <c r="L7" s="55" t="s">
        <v>100</v>
      </c>
    </row>
    <row r="8" spans="2:13" x14ac:dyDescent="0.25">
      <c r="B8" s="57" t="s">
        <v>101</v>
      </c>
      <c r="C8" s="57" t="s">
        <v>102</v>
      </c>
      <c r="D8" s="58" t="s">
        <v>103</v>
      </c>
      <c r="E8" s="58" t="s">
        <v>99</v>
      </c>
      <c r="F8" s="58" t="s">
        <v>104</v>
      </c>
      <c r="G8" s="58" t="s">
        <v>157</v>
      </c>
      <c r="H8" s="58" t="s">
        <v>104</v>
      </c>
      <c r="I8" s="58" t="s">
        <v>99</v>
      </c>
      <c r="J8" s="59" t="s">
        <v>105</v>
      </c>
      <c r="L8" s="60" t="s">
        <v>104</v>
      </c>
    </row>
    <row r="9" spans="2:13" x14ac:dyDescent="0.25">
      <c r="B9" s="56" t="s">
        <v>106</v>
      </c>
      <c r="C9" s="56" t="s">
        <v>107</v>
      </c>
      <c r="D9" s="56" t="s">
        <v>108</v>
      </c>
      <c r="E9" s="56" t="s">
        <v>109</v>
      </c>
      <c r="F9" s="56" t="s">
        <v>110</v>
      </c>
      <c r="G9" s="56" t="s">
        <v>111</v>
      </c>
      <c r="H9" s="56" t="s">
        <v>112</v>
      </c>
      <c r="I9" s="56" t="s">
        <v>113</v>
      </c>
      <c r="J9" s="60" t="s">
        <v>114</v>
      </c>
    </row>
    <row r="10" spans="2:13" x14ac:dyDescent="0.25">
      <c r="B10" s="61"/>
      <c r="C10" s="56"/>
    </row>
    <row r="11" spans="2:13" x14ac:dyDescent="0.25">
      <c r="B11" s="61" t="s">
        <v>115</v>
      </c>
      <c r="C11" s="66">
        <v>101</v>
      </c>
      <c r="D11" s="128">
        <f>SUM('Forecast Usage by Sched'!C10:C21)</f>
        <v>67924064.509927988</v>
      </c>
      <c r="E11" s="129">
        <v>-7.8300000000000002E-3</v>
      </c>
      <c r="F11" s="130">
        <f>D11*E11</f>
        <v>-531845.42511273618</v>
      </c>
      <c r="G11" s="130">
        <f>H11-F11</f>
        <v>196979.78707879118</v>
      </c>
      <c r="H11" s="131">
        <f>D11*I11</f>
        <v>-334865.638033945</v>
      </c>
      <c r="I11" s="73">
        <f>'Nat Gas 2021 Rate Calc'!D30</f>
        <v>-4.9300000000000004E-3</v>
      </c>
      <c r="J11" s="132">
        <f>ROUND(I11-E11,5)</f>
        <v>2.8999999999999998E-3</v>
      </c>
      <c r="K11" s="108"/>
      <c r="L11" s="130">
        <v>53303547.431269474</v>
      </c>
      <c r="M11" s="133">
        <f>G11/L11</f>
        <v>3.6954348551150439E-3</v>
      </c>
    </row>
    <row r="12" spans="2:13" x14ac:dyDescent="0.25">
      <c r="B12" s="61"/>
      <c r="C12" s="66"/>
      <c r="D12" s="40"/>
      <c r="E12" s="40"/>
      <c r="F12" s="70"/>
      <c r="G12" s="70"/>
      <c r="H12" s="64"/>
      <c r="I12" s="73"/>
      <c r="J12" s="72"/>
      <c r="K12" s="40"/>
      <c r="L12" s="70"/>
      <c r="M12" s="79"/>
    </row>
    <row r="13" spans="2:13" x14ac:dyDescent="0.25">
      <c r="B13" s="61" t="s">
        <v>116</v>
      </c>
      <c r="C13" s="67" t="s">
        <v>124</v>
      </c>
      <c r="D13" s="71">
        <f>SUM('Forecast Usage by Sched'!D10:D21)</f>
        <v>27125713.560769707</v>
      </c>
      <c r="E13" s="76">
        <v>-6.8700000000000002E-3</v>
      </c>
      <c r="F13" s="70">
        <f t="shared" ref="F13:F14" si="0">D13*E13</f>
        <v>-186353.65216248788</v>
      </c>
      <c r="G13" s="70">
        <f>H13-F13</f>
        <v>53437.655714716326</v>
      </c>
      <c r="H13" s="64">
        <f>D13*I13</f>
        <v>-132915.99644777155</v>
      </c>
      <c r="I13" s="73">
        <f>'Nat Gas 2021 Rate Calc'!J30</f>
        <v>-4.8999999999999998E-3</v>
      </c>
      <c r="J13" s="72">
        <f t="shared" ref="J13:J14" si="1">I13-E13</f>
        <v>1.9700000000000004E-3</v>
      </c>
      <c r="K13" s="40"/>
      <c r="L13" s="70">
        <v>12355490.889717244</v>
      </c>
      <c r="M13" s="79">
        <f>G13/L13</f>
        <v>4.3250127568131977E-3</v>
      </c>
    </row>
    <row r="14" spans="2:13" x14ac:dyDescent="0.25">
      <c r="B14" s="61" t="s">
        <v>117</v>
      </c>
      <c r="C14" s="67" t="s">
        <v>125</v>
      </c>
      <c r="D14" s="77">
        <f>SUM('Forecast Usage by Sched'!E10:E21)</f>
        <v>0</v>
      </c>
      <c r="E14" s="76">
        <v>-6.8700000000000002E-3</v>
      </c>
      <c r="F14" s="70">
        <f t="shared" si="0"/>
        <v>0</v>
      </c>
      <c r="G14" s="70">
        <f>H14-F14</f>
        <v>0</v>
      </c>
      <c r="H14" s="64">
        <f>D14*I14</f>
        <v>0</v>
      </c>
      <c r="I14" s="73">
        <f>'Nat Gas 2021 Rate Calc'!J30</f>
        <v>-4.8999999999999998E-3</v>
      </c>
      <c r="J14" s="72">
        <f t="shared" si="1"/>
        <v>1.9700000000000004E-3</v>
      </c>
      <c r="K14" s="40"/>
      <c r="L14" s="70">
        <v>0</v>
      </c>
      <c r="M14" s="79">
        <v>0</v>
      </c>
    </row>
    <row r="15" spans="2:13" x14ac:dyDescent="0.25">
      <c r="B15" s="61" t="s">
        <v>130</v>
      </c>
      <c r="C15" s="67" t="s">
        <v>131</v>
      </c>
      <c r="D15" s="78" t="s">
        <v>129</v>
      </c>
      <c r="E15" s="76"/>
      <c r="F15" s="70"/>
      <c r="G15" s="70"/>
      <c r="H15" s="64"/>
      <c r="I15" s="73"/>
      <c r="J15" s="72"/>
      <c r="K15" s="40"/>
      <c r="L15" s="70">
        <v>568385.14592000004</v>
      </c>
      <c r="M15" s="79">
        <f>G15/L15</f>
        <v>0</v>
      </c>
    </row>
    <row r="16" spans="2:13" x14ac:dyDescent="0.25">
      <c r="B16" s="61"/>
      <c r="C16" s="66"/>
      <c r="D16" s="40"/>
      <c r="E16" s="40"/>
      <c r="F16" s="40"/>
      <c r="G16" s="40"/>
      <c r="H16" s="40"/>
      <c r="I16" s="40"/>
      <c r="J16" s="40"/>
      <c r="K16" s="40"/>
      <c r="L16" s="70"/>
      <c r="M16" s="79"/>
    </row>
    <row r="17" spans="2:13" x14ac:dyDescent="0.25">
      <c r="B17" s="63" t="s">
        <v>76</v>
      </c>
      <c r="C17" s="66"/>
      <c r="D17" s="71">
        <f>SUM(D11:D15)</f>
        <v>95049778.070697695</v>
      </c>
      <c r="E17" s="40"/>
      <c r="F17" s="64">
        <f>SUM(F11:F14)</f>
        <v>-718199.07727522403</v>
      </c>
      <c r="G17" s="64">
        <f>SUM(G11:G14)</f>
        <v>250417.44279350751</v>
      </c>
      <c r="H17" s="64">
        <f>SUM(H11:H14)</f>
        <v>-467781.63448171655</v>
      </c>
      <c r="I17" s="40"/>
      <c r="J17" s="40"/>
      <c r="K17" s="40"/>
      <c r="L17" s="64">
        <f>SUM(L11:L15)</f>
        <v>66227423.466906719</v>
      </c>
      <c r="M17" s="79">
        <f>G17/L17</f>
        <v>3.7811744694950873E-3</v>
      </c>
    </row>
    <row r="18" spans="2:13" x14ac:dyDescent="0.25">
      <c r="B18" s="63"/>
      <c r="C18" s="66"/>
      <c r="D18" s="71"/>
      <c r="E18" s="40"/>
      <c r="F18" s="64"/>
      <c r="G18" s="64"/>
      <c r="H18" s="64"/>
      <c r="I18" s="40"/>
      <c r="J18" s="40"/>
      <c r="K18" s="40"/>
      <c r="L18" s="64"/>
      <c r="M18" s="79"/>
    </row>
    <row r="19" spans="2:13" x14ac:dyDescent="0.25">
      <c r="B19" s="127" t="s">
        <v>118</v>
      </c>
      <c r="C19" s="126"/>
      <c r="D19" s="128">
        <f>D13+D14</f>
        <v>27125713.560769707</v>
      </c>
      <c r="E19" s="128"/>
      <c r="F19" s="128">
        <f>F13+F14</f>
        <v>-186353.65216248788</v>
      </c>
      <c r="G19" s="128">
        <f>G13+G14</f>
        <v>53437.655714716326</v>
      </c>
      <c r="H19" s="128">
        <f>H13+H14</f>
        <v>-132915.99644777155</v>
      </c>
      <c r="I19" s="128"/>
      <c r="J19" s="128"/>
      <c r="K19" s="128"/>
      <c r="L19" s="131">
        <f>L13+L14</f>
        <v>12355490.889717244</v>
      </c>
      <c r="M19" s="133">
        <f>G19/L19</f>
        <v>4.3250127568131977E-3</v>
      </c>
    </row>
    <row r="20" spans="2:13" x14ac:dyDescent="0.2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x14ac:dyDescent="0.25">
      <c r="B21" s="40"/>
      <c r="C21" s="40"/>
      <c r="D21" s="40"/>
      <c r="E21" s="40"/>
      <c r="F21" s="40"/>
      <c r="G21" s="79"/>
      <c r="H21" s="80" t="s">
        <v>119</v>
      </c>
      <c r="I21" s="40"/>
      <c r="J21" s="134" t="s">
        <v>159</v>
      </c>
      <c r="K21" s="75"/>
      <c r="L21" s="40"/>
      <c r="M21" s="40"/>
    </row>
    <row r="22" spans="2:13" x14ac:dyDescent="0.25">
      <c r="B22" s="40"/>
      <c r="C22" s="40"/>
      <c r="D22" s="68"/>
      <c r="E22" s="68"/>
      <c r="F22" s="40"/>
      <c r="G22" s="81"/>
      <c r="H22" s="82" t="s">
        <v>120</v>
      </c>
      <c r="I22" s="83">
        <v>6</v>
      </c>
      <c r="J22" s="83">
        <f>I22</f>
        <v>6</v>
      </c>
      <c r="K22" s="75"/>
      <c r="L22" s="74"/>
      <c r="M22" s="40"/>
    </row>
    <row r="23" spans="2:13" x14ac:dyDescent="0.25">
      <c r="B23" s="40"/>
      <c r="C23" s="43"/>
      <c r="D23" s="69"/>
      <c r="E23" s="68"/>
      <c r="F23" s="40"/>
      <c r="G23" s="79"/>
      <c r="H23" s="82" t="s">
        <v>126</v>
      </c>
      <c r="I23" s="69">
        <v>0.69025999999999998</v>
      </c>
      <c r="J23" s="83">
        <f>ROUND(63*I23,2)</f>
        <v>43.49</v>
      </c>
      <c r="K23" s="40"/>
      <c r="L23" s="40"/>
      <c r="M23" s="40"/>
    </row>
    <row r="24" spans="2:13" x14ac:dyDescent="0.25">
      <c r="B24" s="40"/>
      <c r="C24" s="43"/>
      <c r="D24" s="69"/>
      <c r="E24" s="68"/>
      <c r="F24" s="40"/>
      <c r="G24" s="40"/>
      <c r="H24" s="80" t="s">
        <v>138</v>
      </c>
      <c r="I24" s="40"/>
      <c r="J24" s="84">
        <f>SUM(J22:J23)</f>
        <v>49.49</v>
      </c>
      <c r="K24" s="40"/>
      <c r="L24" s="40"/>
      <c r="M24" s="40"/>
    </row>
    <row r="25" spans="2:13" x14ac:dyDescent="0.25">
      <c r="B25" s="40"/>
      <c r="C25" s="43"/>
      <c r="D25" s="69"/>
      <c r="E25" s="68"/>
      <c r="F25" s="40"/>
      <c r="G25" s="40"/>
      <c r="H25" s="82" t="s">
        <v>121</v>
      </c>
      <c r="I25" s="72">
        <f>J11</f>
        <v>2.8999999999999998E-3</v>
      </c>
      <c r="J25" s="83">
        <f>ROUND(I25*63,2)</f>
        <v>0.18</v>
      </c>
      <c r="K25" s="40"/>
      <c r="L25" s="40"/>
      <c r="M25" s="40"/>
    </row>
    <row r="26" spans="2:13" x14ac:dyDescent="0.25">
      <c r="B26" s="40"/>
      <c r="C26" s="85"/>
      <c r="D26" s="86"/>
      <c r="E26" s="87"/>
      <c r="F26" s="40"/>
      <c r="G26" s="40"/>
      <c r="H26" s="80" t="s">
        <v>122</v>
      </c>
      <c r="I26" s="40"/>
      <c r="J26" s="84">
        <f>J24+J25</f>
        <v>49.67</v>
      </c>
      <c r="K26" s="40"/>
      <c r="L26" s="40"/>
      <c r="M26" s="40"/>
    </row>
    <row r="27" spans="2:13" x14ac:dyDescent="0.25">
      <c r="B27" s="40"/>
      <c r="C27" s="85"/>
      <c r="D27" s="86"/>
      <c r="E27" s="87"/>
      <c r="F27" s="40"/>
      <c r="G27" s="40"/>
      <c r="H27" s="80" t="s">
        <v>123</v>
      </c>
      <c r="I27" s="40"/>
      <c r="J27" s="79">
        <f>J25/J24</f>
        <v>3.6370984037179224E-3</v>
      </c>
      <c r="K27" s="40"/>
      <c r="L27" s="40"/>
      <c r="M27" s="40"/>
    </row>
    <row r="28" spans="2:13" x14ac:dyDescent="0.25">
      <c r="B28" s="40"/>
      <c r="C28" s="85"/>
      <c r="D28" s="37"/>
      <c r="E28" s="87"/>
      <c r="F28" s="40"/>
      <c r="J28" s="65"/>
      <c r="K28" s="40"/>
      <c r="L28" s="75"/>
      <c r="M28" s="40"/>
    </row>
    <row r="29" spans="2:13" x14ac:dyDescent="0.25">
      <c r="C29" s="85"/>
      <c r="J29" s="65"/>
      <c r="L29" s="40"/>
      <c r="M29" s="40"/>
    </row>
    <row r="30" spans="2:13" x14ac:dyDescent="0.25">
      <c r="C30" s="85"/>
      <c r="J30" s="54"/>
    </row>
    <row r="31" spans="2:13" x14ac:dyDescent="0.25">
      <c r="C31" s="85"/>
    </row>
    <row r="32" spans="2:13" x14ac:dyDescent="0.25">
      <c r="C32" s="116"/>
      <c r="L32" s="62"/>
    </row>
  </sheetData>
  <pageMargins left="0.7" right="0.7" top="0.75" bottom="0.75" header="0.3" footer="0.3"/>
  <pageSetup scale="85" orientation="landscape" r:id="rId1"/>
  <headerFooter scaleWithDoc="0">
    <oddFooter>&amp;LExhibit B&amp;CPage 8 of 8&amp;R&amp;A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Forecast Usage by Sched</vt:lpstr>
      <vt:lpstr>Nat Gas 2021 Rate Calc</vt:lpstr>
      <vt:lpstr>Prior Year Amortization</vt:lpstr>
      <vt:lpstr>3% Test</vt:lpstr>
      <vt:lpstr>Conversion Factor</vt:lpstr>
      <vt:lpstr>Bill Impact</vt:lpstr>
      <vt:lpstr>'3% Test'!Print_Area</vt:lpstr>
      <vt:lpstr>'Conversion Factor'!Print_Area</vt:lpstr>
      <vt:lpstr>'Nat Gas 2021 Rate Calc'!Print_Area</vt:lpstr>
      <vt:lpstr>'3%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2021-07-27T22:28:11Z</dcterms:modified>
</cp:coreProperties>
</file>